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'Лист1'!$A$5:$AJ$1354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5"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theme="1"/>
      <sz val="11"/>
      <scheme val="minor"/>
    </font>
    <font>
      <name val="Arial Cyr"/>
      <charset val="204"/>
      <color theme="1"/>
      <sz val="8"/>
    </font>
    <font>
      <name val="Arial Cyr"/>
      <charset val="204"/>
      <color indexed="10"/>
      <sz val="8"/>
    </font>
    <font>
      <name val="Arial"/>
      <charset val="204"/>
      <family val="2"/>
      <b val="1"/>
      <color theme="1"/>
      <sz val="12"/>
    </font>
    <font>
      <name val="Arial Cyr"/>
      <charset val="204"/>
      <b val="1"/>
      <color theme="1"/>
      <sz val="8"/>
    </font>
    <font>
      <name val="Arial Cyr"/>
      <charset val="204"/>
      <b val="1"/>
      <color indexed="10"/>
      <sz val="8"/>
    </font>
    <font>
      <name val="Calibri"/>
      <charset val="204"/>
      <family val="2"/>
      <color theme="10"/>
      <sz val="11"/>
      <u val="single"/>
    </font>
    <font>
      <name val="Calibri"/>
      <charset val="204"/>
      <family val="2"/>
      <b val="1"/>
      <color theme="10"/>
      <sz val="11"/>
      <u val="single"/>
    </font>
    <font>
      <name val="Arial"/>
      <charset val="204"/>
      <family val="2"/>
      <b val="1"/>
      <color indexed="12"/>
      <sz val="14"/>
    </font>
    <font>
      <name val="Arial"/>
      <charset val="204"/>
      <family val="2"/>
      <b val="1"/>
      <color indexed="12"/>
      <sz val="14"/>
      <u val="single"/>
    </font>
    <font>
      <name val="Arial"/>
      <charset val="204"/>
      <family val="2"/>
      <b val="1"/>
      <color indexed="12"/>
      <sz val="13"/>
    </font>
    <font>
      <name val="Arial"/>
      <charset val="204"/>
      <family val="2"/>
      <b val="1"/>
      <color indexed="12"/>
      <sz val="13"/>
      <u val="single"/>
    </font>
    <font>
      <name val="Arial"/>
      <charset val="204"/>
      <family val="2"/>
      <b val="1"/>
      <color indexed="16"/>
      <sz val="13"/>
    </font>
    <font>
      <name val="Arial"/>
      <charset val="204"/>
      <family val="2"/>
      <b val="1"/>
      <color indexed="16"/>
      <sz val="13"/>
      <u val="single"/>
    </font>
  </fonts>
  <fills count="4">
    <fill>
      <patternFill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Alignment="1" applyProtection="1">
      <alignment vertical="top"/>
      <protection locked="0" hidden="0"/>
    </xf>
  </cellStyleXfs>
  <cellXfs count="2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1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2" fontId="0" fillId="0" borderId="0" pivotButton="0" quotePrefix="0" xfId="0"/>
    <xf numFmtId="2" fontId="2" fillId="0" borderId="0" pivotButton="0" quotePrefix="0" xfId="0"/>
    <xf numFmtId="10" fontId="0" fillId="3" borderId="0" pivotButton="0" quotePrefix="0" xfId="0"/>
    <xf numFmtId="0" fontId="5" fillId="0" borderId="0" pivotButton="0" quotePrefix="0" xfId="0"/>
    <xf numFmtId="14" fontId="2" fillId="0" borderId="0" pivotButton="0" quotePrefix="0" xfId="0"/>
    <xf numFmtId="0" fontId="7" fillId="0" borderId="0" pivotButton="0" quotePrefix="0" xfId="1"/>
    <xf numFmtId="0" fontId="8" fillId="0" borderId="0" pivotButton="0" quotePrefix="0" xfId="1"/>
    <xf numFmtId="14" fontId="5" fillId="0" borderId="0" pivotButton="0" quotePrefix="0" xfId="0"/>
    <xf numFmtId="0" fontId="9" fillId="0" borderId="0" pivotButton="0" quotePrefix="0" xfId="0"/>
    <xf numFmtId="0" fontId="10" fillId="0" borderId="0" pivotButton="0" quotePrefix="0" xfId="1"/>
    <xf numFmtId="14" fontId="9" fillId="0" borderId="0" pivotButton="0" quotePrefix="0" xfId="0"/>
    <xf numFmtId="0" fontId="11" fillId="0" borderId="0" pivotButton="0" quotePrefix="0" xfId="0"/>
    <xf numFmtId="0" fontId="12" fillId="0" borderId="0" pivotButton="0" quotePrefix="0" xfId="1"/>
    <xf numFmtId="14" fontId="11" fillId="0" borderId="0" pivotButton="0" quotePrefix="0" xfId="0"/>
    <xf numFmtId="0" fontId="13" fillId="0" borderId="0" pivotButton="0" quotePrefix="0" xfId="0"/>
    <xf numFmtId="0" fontId="14" fillId="0" borderId="0" pivotButton="0" quotePrefix="0" xfId="1"/>
    <xf numFmtId="14" fontId="13" fillId="0" borderId="0" pivotButton="0" quotePrefix="0" xfId="0"/>
    <xf numFmtId="2" fontId="9" fillId="0" borderId="0" pivotButton="0" quotePrefix="0" xfId="0"/>
    <xf numFmtId="2" fontId="5" fillId="0" borderId="0" pivotButton="0" quotePrefix="0" xfId="0"/>
    <xf numFmtId="2" fontId="13" fillId="0" borderId="0" pivotButton="0" quotePrefix="0" xfId="0"/>
    <xf numFmtId="2" fontId="11" fillId="0" borderId="0" pivotButton="0" quotePrefix="0" xfId="0"/>
  </cellXfs>
  <cellStyles count="2">
    <cellStyle name="Обычный" xfId="0" builtinId="0"/>
    <cellStyle name="Гиперссылка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torg.book-online.ru/photo_book/11509670.jpg" TargetMode="External" Id="rId1" /><Relationship Type="http://schemas.openxmlformats.org/officeDocument/2006/relationships/hyperlink" Target="http://torg.book-online.ru/photo_book/12245580.jpg" TargetMode="External" Id="rId2" /><Relationship Type="http://schemas.openxmlformats.org/officeDocument/2006/relationships/hyperlink" Target="http://torg.book-online.ru/photo_book/12207950.jpg" TargetMode="External" Id="rId3" /><Relationship Type="http://schemas.openxmlformats.org/officeDocument/2006/relationships/hyperlink" Target="http://torg.book-online.ru/photo_book/12238330.jpg" TargetMode="External" Id="rId4" /><Relationship Type="http://schemas.openxmlformats.org/officeDocument/2006/relationships/hyperlink" Target="http://torg.book-online.ru/photo_book/12277860.jpg" TargetMode="External" Id="rId5" /><Relationship Type="http://schemas.openxmlformats.org/officeDocument/2006/relationships/hyperlink" Target="http://torg.book-online.ru/photo_book/11962340.jpg" TargetMode="External" Id="rId6" /><Relationship Type="http://schemas.openxmlformats.org/officeDocument/2006/relationships/hyperlink" Target="http://torg.book-online.ru/photo_book/12054140.jpg" TargetMode="External" Id="rId7" /><Relationship Type="http://schemas.openxmlformats.org/officeDocument/2006/relationships/hyperlink" Target="http://torg.book-online.ru/photo_book/11657470.jpg" TargetMode="External" Id="rId8" /><Relationship Type="http://schemas.openxmlformats.org/officeDocument/2006/relationships/hyperlink" Target="http://torg.book-online.ru/photo_book/12106540.jpg" TargetMode="External" Id="rId9" /><Relationship Type="http://schemas.openxmlformats.org/officeDocument/2006/relationships/hyperlink" Target="http://torg.book-online.ru/photo_book/11792080.jpg" TargetMode="External" Id="rId10" /><Relationship Type="http://schemas.openxmlformats.org/officeDocument/2006/relationships/hyperlink" Target="http://torg.book-online.ru/photo_book/12083520.jpg" TargetMode="External" Id="rId11" /><Relationship Type="http://schemas.openxmlformats.org/officeDocument/2006/relationships/hyperlink" Target="http://torg.book-online.ru/photo_book/12231060.jpg" TargetMode="External" Id="rId12" /><Relationship Type="http://schemas.openxmlformats.org/officeDocument/2006/relationships/hyperlink" Target="http://torg.book-online.ru/photo_book/11462850.jpg" TargetMode="External" Id="rId13" /><Relationship Type="http://schemas.openxmlformats.org/officeDocument/2006/relationships/hyperlink" Target="http://torg.book-online.ru/photo_book/11757290.jpg" TargetMode="External" Id="rId14" /><Relationship Type="http://schemas.openxmlformats.org/officeDocument/2006/relationships/hyperlink" Target="http://torg.book-online.ru/photo_book/11943650.jpg" TargetMode="External" Id="rId15" /><Relationship Type="http://schemas.openxmlformats.org/officeDocument/2006/relationships/hyperlink" Target="http://torg.book-online.ru/photo_book/12037830.jpg" TargetMode="External" Id="rId16" /><Relationship Type="http://schemas.openxmlformats.org/officeDocument/2006/relationships/hyperlink" Target="http://torg.book-online.ru/photo_book/11647160.jpg" TargetMode="External" Id="rId17" /><Relationship Type="http://schemas.openxmlformats.org/officeDocument/2006/relationships/hyperlink" Target="http://torg.book-online.ru/photo_book/12029760.jpg" TargetMode="External" Id="rId18" /><Relationship Type="http://schemas.openxmlformats.org/officeDocument/2006/relationships/hyperlink" Target="http://torg.book-online.ru/photo_book/12196430.jpg" TargetMode="External" Id="rId19" /><Relationship Type="http://schemas.openxmlformats.org/officeDocument/2006/relationships/hyperlink" Target="http://torg.book-online.ru/photo_book/11675640.jpg" TargetMode="External" Id="rId20" /><Relationship Type="http://schemas.openxmlformats.org/officeDocument/2006/relationships/hyperlink" Target="http://torg.book-online.ru/photo_book/11664080.jpg" TargetMode="External" Id="rId21" /><Relationship Type="http://schemas.openxmlformats.org/officeDocument/2006/relationships/hyperlink" Target="http://torg.book-online.ru/photo_book/12133880.jpg" TargetMode="External" Id="rId22" /><Relationship Type="http://schemas.openxmlformats.org/officeDocument/2006/relationships/hyperlink" Target="http://torg.book-online.ru/photo_book/10290150.jpg" TargetMode="External" Id="rId23" /><Relationship Type="http://schemas.openxmlformats.org/officeDocument/2006/relationships/hyperlink" Target="http://torg.book-online.ru/photo_book/12167930.jpg" TargetMode="External" Id="rId24" /><Relationship Type="http://schemas.openxmlformats.org/officeDocument/2006/relationships/hyperlink" Target="http://torg.book-online.ru/photo_book/11664290.jpg" TargetMode="External" Id="rId25" /><Relationship Type="http://schemas.openxmlformats.org/officeDocument/2006/relationships/hyperlink" Target="http://torg.book-online.ru/photo_book/11708390.jpg" TargetMode="External" Id="rId26" /><Relationship Type="http://schemas.openxmlformats.org/officeDocument/2006/relationships/hyperlink" Target="http://torg.book-online.ru/photo_book/12171100.jpg" TargetMode="External" Id="rId27" /><Relationship Type="http://schemas.openxmlformats.org/officeDocument/2006/relationships/hyperlink" Target="http://torg.book-online.ru/photo_book/11680430.jpg" TargetMode="External" Id="rId28" /><Relationship Type="http://schemas.openxmlformats.org/officeDocument/2006/relationships/hyperlink" Target="http://torg.book-online.ru/photo_book/11893880.jpg" TargetMode="External" Id="rId29" /><Relationship Type="http://schemas.openxmlformats.org/officeDocument/2006/relationships/hyperlink" Target="http://torg.book-online.ru/photo_book/12038380.jpg" TargetMode="External" Id="rId30" /><Relationship Type="http://schemas.openxmlformats.org/officeDocument/2006/relationships/hyperlink" Target="http://torg.book-online.ru/photo_book/11462130.jpg" TargetMode="External" Id="rId31" /><Relationship Type="http://schemas.openxmlformats.org/officeDocument/2006/relationships/hyperlink" Target="http://torg.book-online.ru/photo_book/9291180.jpg" TargetMode="External" Id="rId32" /><Relationship Type="http://schemas.openxmlformats.org/officeDocument/2006/relationships/hyperlink" Target="http://torg.book-online.ru/photo_book/11959170.jpg" TargetMode="External" Id="rId33" /><Relationship Type="http://schemas.openxmlformats.org/officeDocument/2006/relationships/hyperlink" Target="http://torg.book-online.ru/photo_book/11520930.jpg" TargetMode="External" Id="rId34" /><Relationship Type="http://schemas.openxmlformats.org/officeDocument/2006/relationships/hyperlink" Target="http://torg.book-online.ru/photo_book/11566190.jpg" TargetMode="External" Id="rId35" /><Relationship Type="http://schemas.openxmlformats.org/officeDocument/2006/relationships/hyperlink" Target="http://torg.book-online.ru/photo_book/12041890.jpg" TargetMode="External" Id="rId36" /><Relationship Type="http://schemas.openxmlformats.org/officeDocument/2006/relationships/hyperlink" Target="http://torg.book-online.ru/photo_book/11392320.jpg" TargetMode="External" Id="rId37" /><Relationship Type="http://schemas.openxmlformats.org/officeDocument/2006/relationships/hyperlink" Target="http://torg.book-online.ru/photo_book/10378310.jpg" TargetMode="External" Id="rId38" /><Relationship Type="http://schemas.openxmlformats.org/officeDocument/2006/relationships/hyperlink" Target="http://torg.book-online.ru/photo_book/11962330.jpg" TargetMode="External" Id="rId39" /><Relationship Type="http://schemas.openxmlformats.org/officeDocument/2006/relationships/hyperlink" Target="http://torg.book-online.ru/photo_book/11293150.jpg" TargetMode="External" Id="rId40" /><Relationship Type="http://schemas.openxmlformats.org/officeDocument/2006/relationships/hyperlink" Target="http://torg.book-online.ru/photo_book/11838520.jpg" TargetMode="External" Id="rId41" /><Relationship Type="http://schemas.openxmlformats.org/officeDocument/2006/relationships/hyperlink" Target="http://torg.book-online.ru/photo_book/12082460.jpg" TargetMode="External" Id="rId42" /><Relationship Type="http://schemas.openxmlformats.org/officeDocument/2006/relationships/hyperlink" Target="http://torg.book-online.ru/photo_book/12171940.jpg" TargetMode="External" Id="rId43" /><Relationship Type="http://schemas.openxmlformats.org/officeDocument/2006/relationships/hyperlink" Target="http://torg.book-online.ru/photo_book/11937280.jpg" TargetMode="External" Id="rId44" /><Relationship Type="http://schemas.openxmlformats.org/officeDocument/2006/relationships/hyperlink" Target="http://torg.book-online.ru/photo_book/12199570.jpg" TargetMode="External" Id="rId45" /><Relationship Type="http://schemas.openxmlformats.org/officeDocument/2006/relationships/hyperlink" Target="http://torg.book-online.ru/photo_book/11428720.jpg" TargetMode="External" Id="rId46" /><Relationship Type="http://schemas.openxmlformats.org/officeDocument/2006/relationships/hyperlink" Target="http://torg.book-online.ru/photo_book/10452500.jpg" TargetMode="External" Id="rId47" /><Relationship Type="http://schemas.openxmlformats.org/officeDocument/2006/relationships/hyperlink" Target="http://torg.book-online.ru/photo_book/12140300.jpg" TargetMode="External" Id="rId48" /><Relationship Type="http://schemas.openxmlformats.org/officeDocument/2006/relationships/hyperlink" Target="http://torg.book-online.ru/photo_book/11375830.jpg" TargetMode="External" Id="rId49" /><Relationship Type="http://schemas.openxmlformats.org/officeDocument/2006/relationships/hyperlink" Target="http://torg.book-online.ru/photo_book/11862610.jpg" TargetMode="External" Id="rId50" /><Relationship Type="http://schemas.openxmlformats.org/officeDocument/2006/relationships/hyperlink" Target="http://torg.book-online.ru/photo_book/11791740.jpg" TargetMode="External" Id="rId51" /><Relationship Type="http://schemas.openxmlformats.org/officeDocument/2006/relationships/hyperlink" Target="http://torg.book-online.ru/photo_book/10426170.jpg" TargetMode="External" Id="rId52" /><Relationship Type="http://schemas.openxmlformats.org/officeDocument/2006/relationships/hyperlink" Target="http://torg.book-online.ru/photo_book/11964960.jpg" TargetMode="External" Id="rId53" /><Relationship Type="http://schemas.openxmlformats.org/officeDocument/2006/relationships/hyperlink" Target="http://torg.book-online.ru/photo_book/11419990.jpg" TargetMode="External" Id="rId54" /><Relationship Type="http://schemas.openxmlformats.org/officeDocument/2006/relationships/hyperlink" Target="http://torg.book-online.ru/photo_book/12223750.jpg" TargetMode="External" Id="rId55" /><Relationship Type="http://schemas.openxmlformats.org/officeDocument/2006/relationships/hyperlink" Target="http://torg.book-online.ru/photo_book/12015860.jpg" TargetMode="External" Id="rId56" /><Relationship Type="http://schemas.openxmlformats.org/officeDocument/2006/relationships/hyperlink" Target="http://torg.book-online.ru/photo_book/10542970.jpg" TargetMode="External" Id="rId57" /><Relationship Type="http://schemas.openxmlformats.org/officeDocument/2006/relationships/hyperlink" Target="http://torg.book-online.ru/photo_book/11436620.jpg" TargetMode="External" Id="rId58" /><Relationship Type="http://schemas.openxmlformats.org/officeDocument/2006/relationships/hyperlink" Target="http://torg.book-online.ru/photo_book/11463080.jpg" TargetMode="External" Id="rId59" /><Relationship Type="http://schemas.openxmlformats.org/officeDocument/2006/relationships/hyperlink" Target="http://torg.book-online.ru/photo_book/11136510.jpg" TargetMode="External" Id="rId60" /><Relationship Type="http://schemas.openxmlformats.org/officeDocument/2006/relationships/hyperlink" Target="http://torg.book-online.ru/photo_book/11680470.jpg" TargetMode="External" Id="rId61" /><Relationship Type="http://schemas.openxmlformats.org/officeDocument/2006/relationships/hyperlink" Target="http://torg.book-online.ru/photo_book/12268550.jpg" TargetMode="External" Id="rId62" /><Relationship Type="http://schemas.openxmlformats.org/officeDocument/2006/relationships/hyperlink" Target="http://torg.book-online.ru/photo_book/11719420.jpg" TargetMode="External" Id="rId63" /><Relationship Type="http://schemas.openxmlformats.org/officeDocument/2006/relationships/hyperlink" Target="http://torg.book-online.ru/photo_book/11742370.jpg" TargetMode="External" Id="rId64" /><Relationship Type="http://schemas.openxmlformats.org/officeDocument/2006/relationships/hyperlink" Target="http://torg.book-online.ru/photo_book/11758150.jpg" TargetMode="External" Id="rId65" /><Relationship Type="http://schemas.openxmlformats.org/officeDocument/2006/relationships/hyperlink" Target="http://torg.book-online.ru/photo_book/11815780.jpg" TargetMode="External" Id="rId66" /><Relationship Type="http://schemas.openxmlformats.org/officeDocument/2006/relationships/hyperlink" Target="http://torg.book-online.ru/photo_book/12261710.jpg" TargetMode="External" Id="rId67" /><Relationship Type="http://schemas.openxmlformats.org/officeDocument/2006/relationships/hyperlink" Target="http://torg.book-online.ru/photo_book/12228610.jpg" TargetMode="External" Id="rId68" /><Relationship Type="http://schemas.openxmlformats.org/officeDocument/2006/relationships/hyperlink" Target="http://torg.book-online.ru/photo_book/11582880.jpg" TargetMode="External" Id="rId69" /><Relationship Type="http://schemas.openxmlformats.org/officeDocument/2006/relationships/hyperlink" Target="http://torg.book-online.ru/photo_book/11627020.jpg" TargetMode="External" Id="rId70" /><Relationship Type="http://schemas.openxmlformats.org/officeDocument/2006/relationships/hyperlink" Target="http://torg.book-online.ru/photo_book/11116460.jpg" TargetMode="External" Id="rId71" /><Relationship Type="http://schemas.openxmlformats.org/officeDocument/2006/relationships/hyperlink" Target="http://torg.book-online.ru/photo_book/11486970.jpg" TargetMode="External" Id="rId72" /><Relationship Type="http://schemas.openxmlformats.org/officeDocument/2006/relationships/hyperlink" Target="http://torg.book-online.ru/photo_book/12254470.jpg" TargetMode="External" Id="rId73" /><Relationship Type="http://schemas.openxmlformats.org/officeDocument/2006/relationships/hyperlink" Target="http://torg.book-online.ru/photo_book/11576290.jpg" TargetMode="External" Id="rId74" /><Relationship Type="http://schemas.openxmlformats.org/officeDocument/2006/relationships/hyperlink" Target="http://torg.book-online.ru/photo_book/11532840.jpg" TargetMode="External" Id="rId75" /><Relationship Type="http://schemas.openxmlformats.org/officeDocument/2006/relationships/hyperlink" Target="http://torg.book-online.ru/photo_book/11664320.jpg" TargetMode="External" Id="rId76" /><Relationship Type="http://schemas.openxmlformats.org/officeDocument/2006/relationships/hyperlink" Target="http://torg.book-online.ru/photo_book/12139880.jpg" TargetMode="External" Id="rId77" /><Relationship Type="http://schemas.openxmlformats.org/officeDocument/2006/relationships/hyperlink" Target="http://torg.book-online.ru/photo_book/12139870.jpg" TargetMode="External" Id="rId78" /><Relationship Type="http://schemas.openxmlformats.org/officeDocument/2006/relationships/hyperlink" Target="http://torg.book-online.ru/photo_book/11977380.jpg" TargetMode="External" Id="rId79" /><Relationship Type="http://schemas.openxmlformats.org/officeDocument/2006/relationships/hyperlink" Target="http://torg.book-online.ru/photo_book/11220600.jpg" TargetMode="External" Id="rId80" /><Relationship Type="http://schemas.openxmlformats.org/officeDocument/2006/relationships/hyperlink" Target="http://torg.book-online.ru/photo_book/11800690.jpg" TargetMode="External" Id="rId81" /><Relationship Type="http://schemas.openxmlformats.org/officeDocument/2006/relationships/hyperlink" Target="http://torg.book-online.ru/photo_book/11866040.jpg" TargetMode="External" Id="rId82" /><Relationship Type="http://schemas.openxmlformats.org/officeDocument/2006/relationships/hyperlink" Target="http://torg.book-online.ru/photo_book/12277800.jpg" TargetMode="External" Id="rId83" /><Relationship Type="http://schemas.openxmlformats.org/officeDocument/2006/relationships/hyperlink" Target="http://torg.book-online.ru/photo_book/11799090.jpg" TargetMode="External" Id="rId84" /><Relationship Type="http://schemas.openxmlformats.org/officeDocument/2006/relationships/hyperlink" Target="http://torg.book-online.ru/photo_book/11903060.jpg" TargetMode="External" Id="rId85" /><Relationship Type="http://schemas.openxmlformats.org/officeDocument/2006/relationships/hyperlink" Target="http://torg.book-online.ru/photo_book/12083560.jpg" TargetMode="External" Id="rId86" /><Relationship Type="http://schemas.openxmlformats.org/officeDocument/2006/relationships/hyperlink" Target="http://torg.book-online.ru/photo_book/11782490.jpg" TargetMode="External" Id="rId87" /><Relationship Type="http://schemas.openxmlformats.org/officeDocument/2006/relationships/hyperlink" Target="http://torg.book-online.ru/photo_book/12082510.jpg" TargetMode="External" Id="rId88" /><Relationship Type="http://schemas.openxmlformats.org/officeDocument/2006/relationships/hyperlink" Target="http://torg.book-online.ru/photo_book/12057120.jpg" TargetMode="External" Id="rId89" /><Relationship Type="http://schemas.openxmlformats.org/officeDocument/2006/relationships/hyperlink" Target="http://torg.book-online.ru/photo_book/11798480.jpg" TargetMode="External" Id="rId90" /><Relationship Type="http://schemas.openxmlformats.org/officeDocument/2006/relationships/hyperlink" Target="http://torg.book-online.ru/photo_book/10466070.jpg" TargetMode="External" Id="rId91" /><Relationship Type="http://schemas.openxmlformats.org/officeDocument/2006/relationships/hyperlink" Target="http://torg.book-online.ru/photo_book/11747030.jpg" TargetMode="External" Id="rId92" /><Relationship Type="http://schemas.openxmlformats.org/officeDocument/2006/relationships/hyperlink" Target="http://torg.book-online.ru/photo_book/11610420.jpg" TargetMode="External" Id="rId93" /><Relationship Type="http://schemas.openxmlformats.org/officeDocument/2006/relationships/hyperlink" Target="http://torg.book-online.ru/photo_book/11519970.jpg" TargetMode="External" Id="rId94" /><Relationship Type="http://schemas.openxmlformats.org/officeDocument/2006/relationships/hyperlink" Target="http://torg.book-online.ru/photo_book/11536070.jpg" TargetMode="External" Id="rId95" /><Relationship Type="http://schemas.openxmlformats.org/officeDocument/2006/relationships/hyperlink" Target="http://torg.book-online.ru/photo_book/11964980.jpg" TargetMode="External" Id="rId96" /><Relationship Type="http://schemas.openxmlformats.org/officeDocument/2006/relationships/hyperlink" Target="http://torg.book-online.ru/photo_book/11959200.jpg" TargetMode="External" Id="rId97" /><Relationship Type="http://schemas.openxmlformats.org/officeDocument/2006/relationships/hyperlink" Target="http://torg.book-online.ru/photo_book/11959190.jpg" TargetMode="External" Id="rId98" /><Relationship Type="http://schemas.openxmlformats.org/officeDocument/2006/relationships/hyperlink" Target="http://torg.book-online.ru/photo_book/10402780.jpg" TargetMode="External" Id="rId99" /><Relationship Type="http://schemas.openxmlformats.org/officeDocument/2006/relationships/hyperlink" Target="http://torg.book-online.ru/photo_book/11536120.jpg" TargetMode="External" Id="rId100" /><Relationship Type="http://schemas.openxmlformats.org/officeDocument/2006/relationships/hyperlink" Target="http://torg.book-online.ru/photo_book/11504400.jpg" TargetMode="External" Id="rId101" /><Relationship Type="http://schemas.openxmlformats.org/officeDocument/2006/relationships/hyperlink" Target="http://torg.book-online.ru/photo_book/11964950.jpg" TargetMode="External" Id="rId102" /><Relationship Type="http://schemas.openxmlformats.org/officeDocument/2006/relationships/hyperlink" Target="http://torg.book-online.ru/photo_book/11708590.jpg" TargetMode="External" Id="rId103" /><Relationship Type="http://schemas.openxmlformats.org/officeDocument/2006/relationships/hyperlink" Target="http://torg.book-online.ru/photo_book/11513340.jpg" TargetMode="External" Id="rId104" /><Relationship Type="http://schemas.openxmlformats.org/officeDocument/2006/relationships/hyperlink" Target="http://torg.book-online.ru/photo_book/11664280.jpg" TargetMode="External" Id="rId105" /><Relationship Type="http://schemas.openxmlformats.org/officeDocument/2006/relationships/hyperlink" Target="http://torg.book-online.ru/photo_book/12079380.jpg" TargetMode="External" Id="rId106" /><Relationship Type="http://schemas.openxmlformats.org/officeDocument/2006/relationships/hyperlink" Target="http://torg.book-online.ru/photo_book/12225330.jpg" TargetMode="External" Id="rId107" /><Relationship Type="http://schemas.openxmlformats.org/officeDocument/2006/relationships/hyperlink" Target="http://torg.book-online.ru/photo_book/12228750.jpg" TargetMode="External" Id="rId108" /><Relationship Type="http://schemas.openxmlformats.org/officeDocument/2006/relationships/hyperlink" Target="http://torg.book-online.ru/photo_book/11664250.jpg" TargetMode="External" Id="rId109" /><Relationship Type="http://schemas.openxmlformats.org/officeDocument/2006/relationships/hyperlink" Target="http://torg.book-online.ru/photo_book/10917750.jpg" TargetMode="External" Id="rId110" /><Relationship Type="http://schemas.openxmlformats.org/officeDocument/2006/relationships/hyperlink" Target="http://torg.book-online.ru/photo_book/11195960.jpg" TargetMode="External" Id="rId111" /><Relationship Type="http://schemas.openxmlformats.org/officeDocument/2006/relationships/hyperlink" Target="http://torg.book-online.ru/photo_book/12220980.jpg" TargetMode="External" Id="rId112" /><Relationship Type="http://schemas.openxmlformats.org/officeDocument/2006/relationships/hyperlink" Target="http://torg.book-online.ru/photo_book/12039310.jpg" TargetMode="External" Id="rId113" /><Relationship Type="http://schemas.openxmlformats.org/officeDocument/2006/relationships/hyperlink" Target="http://torg.book-online.ru/photo_book/12145080.jpg" TargetMode="External" Id="rId114" /><Relationship Type="http://schemas.openxmlformats.org/officeDocument/2006/relationships/hyperlink" Target="http://torg.book-online.ru/photo_book/11664300.jpg" TargetMode="External" Id="rId115" /><Relationship Type="http://schemas.openxmlformats.org/officeDocument/2006/relationships/hyperlink" Target="http://torg.book-online.ru/photo_book/10726950.jpg" TargetMode="External" Id="rId116" /><Relationship Type="http://schemas.openxmlformats.org/officeDocument/2006/relationships/hyperlink" Target="http://torg.book-online.ru/photo_book/11860060.jpg" TargetMode="External" Id="rId117" /><Relationship Type="http://schemas.openxmlformats.org/officeDocument/2006/relationships/hyperlink" Target="http://torg.book-online.ru/photo_book/7954640.jpg" TargetMode="External" Id="rId118" /><Relationship Type="http://schemas.openxmlformats.org/officeDocument/2006/relationships/hyperlink" Target="http://torg.book-online.ru/photo_book/11874680.jpg" TargetMode="External" Id="rId119" /><Relationship Type="http://schemas.openxmlformats.org/officeDocument/2006/relationships/hyperlink" Target="http://torg.book-online.ru/photo_book/12252050.jpg" TargetMode="External" Id="rId120" /><Relationship Type="http://schemas.openxmlformats.org/officeDocument/2006/relationships/hyperlink" Target="http://torg.book-online.ru/photo_book/8487150.jpg" TargetMode="External" Id="rId121" /><Relationship Type="http://schemas.openxmlformats.org/officeDocument/2006/relationships/hyperlink" Target="http://torg.book-online.ru/photo_book/11499380.jpg" TargetMode="External" Id="rId122" /><Relationship Type="http://schemas.openxmlformats.org/officeDocument/2006/relationships/hyperlink" Target="http://torg.book-online.ru/photo_book/11499420.jpg" TargetMode="External" Id="rId123" /><Relationship Type="http://schemas.openxmlformats.org/officeDocument/2006/relationships/hyperlink" Target="http://torg.book-online.ru/photo_book/10309320.jpg" TargetMode="External" Id="rId124" /><Relationship Type="http://schemas.openxmlformats.org/officeDocument/2006/relationships/hyperlink" Target="http://torg.book-online.ru/photo_book/9588320.jpg" TargetMode="External" Id="rId125" /><Relationship Type="http://schemas.openxmlformats.org/officeDocument/2006/relationships/hyperlink" Target="http://torg.book-online.ru/photo_book/9561550.jpg" TargetMode="External" Id="rId126" /><Relationship Type="http://schemas.openxmlformats.org/officeDocument/2006/relationships/hyperlink" Target="http://torg.book-online.ru/photo_book/9697770.jpg" TargetMode="External" Id="rId127" /><Relationship Type="http://schemas.openxmlformats.org/officeDocument/2006/relationships/hyperlink" Target="http://torg.book-online.ru/photo_book/9704030.jpg" TargetMode="External" Id="rId128" /><Relationship Type="http://schemas.openxmlformats.org/officeDocument/2006/relationships/hyperlink" Target="http://torg.book-online.ru/photo_book/9628990.jpg" TargetMode="External" Id="rId129" /><Relationship Type="http://schemas.openxmlformats.org/officeDocument/2006/relationships/hyperlink" Target="http://torg.book-online.ru/photo_book/11030910.jpg" TargetMode="External" Id="rId130" /><Relationship Type="http://schemas.openxmlformats.org/officeDocument/2006/relationships/hyperlink" Target="http://torg.book-online.ru/photo_book/11030760.jpg" TargetMode="External" Id="rId131" /><Relationship Type="http://schemas.openxmlformats.org/officeDocument/2006/relationships/hyperlink" Target="http://torg.book-online.ru/photo_book/11030770.jpg" TargetMode="External" Id="rId132" /><Relationship Type="http://schemas.openxmlformats.org/officeDocument/2006/relationships/hyperlink" Target="http://torg.book-online.ru/photo_book/11030800.jpg" TargetMode="External" Id="rId133" /><Relationship Type="http://schemas.openxmlformats.org/officeDocument/2006/relationships/hyperlink" Target="http://torg.book-online.ru/photo_book/11030880.jpg" TargetMode="External" Id="rId134" /><Relationship Type="http://schemas.openxmlformats.org/officeDocument/2006/relationships/hyperlink" Target="http://torg.book-online.ru/photo_book/9422720.jpg" TargetMode="External" Id="rId135" /><Relationship Type="http://schemas.openxmlformats.org/officeDocument/2006/relationships/hyperlink" Target="http://torg.book-online.ru/photo_book/10482760.jpg" TargetMode="External" Id="rId136" /><Relationship Type="http://schemas.openxmlformats.org/officeDocument/2006/relationships/hyperlink" Target="http://torg.book-online.ru/photo_book/11680490.jpg" TargetMode="External" Id="rId137" /><Relationship Type="http://schemas.openxmlformats.org/officeDocument/2006/relationships/hyperlink" Target="http://torg.book-online.ru/photo_book/10483360.jpg" TargetMode="External" Id="rId138" /><Relationship Type="http://schemas.openxmlformats.org/officeDocument/2006/relationships/hyperlink" Target="http://torg.book-online.ru/photo_book/11388370.jpg" TargetMode="External" Id="rId139" /><Relationship Type="http://schemas.openxmlformats.org/officeDocument/2006/relationships/hyperlink" Target="http://torg.book-online.ru/photo_book/10484680.jpg" TargetMode="External" Id="rId140" /><Relationship Type="http://schemas.openxmlformats.org/officeDocument/2006/relationships/hyperlink" Target="http://torg.book-online.ru/photo_book/10485020.jpg" TargetMode="External" Id="rId141" /><Relationship Type="http://schemas.openxmlformats.org/officeDocument/2006/relationships/hyperlink" Target="http://torg.book-online.ru/photo_book/10666950.jpg" TargetMode="External" Id="rId142" /><Relationship Type="http://schemas.openxmlformats.org/officeDocument/2006/relationships/hyperlink" Target="http://torg.book-online.ru/photo_book/10442010.jpg" TargetMode="External" Id="rId143" /><Relationship Type="http://schemas.openxmlformats.org/officeDocument/2006/relationships/hyperlink" Target="http://torg.book-online.ru/photo_book/10473730.jpg" TargetMode="External" Id="rId144" /><Relationship Type="http://schemas.openxmlformats.org/officeDocument/2006/relationships/hyperlink" Target="http://torg.book-online.ru/photo_book/9441210.jpg" TargetMode="External" Id="rId145" /><Relationship Type="http://schemas.openxmlformats.org/officeDocument/2006/relationships/hyperlink" Target="http://torg.book-online.ru/photo_book/10408250.jpg" TargetMode="External" Id="rId146" /><Relationship Type="http://schemas.openxmlformats.org/officeDocument/2006/relationships/hyperlink" Target="http://torg.book-online.ru/photo_book/10452520.jpg" TargetMode="External" Id="rId147" /><Relationship Type="http://schemas.openxmlformats.org/officeDocument/2006/relationships/hyperlink" Target="http://torg.book-online.ru/photo_book/10451050.jpg" TargetMode="External" Id="rId148" /><Relationship Type="http://schemas.openxmlformats.org/officeDocument/2006/relationships/hyperlink" Target="http://torg.book-online.ru/photo_book/10451040.jpg" TargetMode="External" Id="rId149" /><Relationship Type="http://schemas.openxmlformats.org/officeDocument/2006/relationships/hyperlink" Target="http://torg.book-online.ru/photo_book/10409200.jpg" TargetMode="External" Id="rId150" /><Relationship Type="http://schemas.openxmlformats.org/officeDocument/2006/relationships/hyperlink" Target="http://torg.book-online.ru/photo_book/10506700.jpg" TargetMode="External" Id="rId151" /><Relationship Type="http://schemas.openxmlformats.org/officeDocument/2006/relationships/hyperlink" Target="http://torg.book-online.ru/photo_book/10435900.jpg" TargetMode="External" Id="rId152" /><Relationship Type="http://schemas.openxmlformats.org/officeDocument/2006/relationships/hyperlink" Target="http://torg.book-online.ru/photo_book/10406790.jpg" TargetMode="External" Id="rId153" /><Relationship Type="http://schemas.openxmlformats.org/officeDocument/2006/relationships/hyperlink" Target="http://torg.book-online.ru/photo_book/10536530.jpg" TargetMode="External" Id="rId154" /><Relationship Type="http://schemas.openxmlformats.org/officeDocument/2006/relationships/hyperlink" Target="http://torg.book-online.ru/photo_book/10409380.jpg" TargetMode="External" Id="rId155" /><Relationship Type="http://schemas.openxmlformats.org/officeDocument/2006/relationships/hyperlink" Target="http://torg.book-online.ru/photo_book/10408430.jpg" TargetMode="External" Id="rId156" /><Relationship Type="http://schemas.openxmlformats.org/officeDocument/2006/relationships/hyperlink" Target="http://torg.book-online.ru/photo_book/10452720.jpg" TargetMode="External" Id="rId157" /><Relationship Type="http://schemas.openxmlformats.org/officeDocument/2006/relationships/hyperlink" Target="http://torg.book-online.ru/photo_book/8679320.jpg" TargetMode="External" Id="rId158" /><Relationship Type="http://schemas.openxmlformats.org/officeDocument/2006/relationships/hyperlink" Target="http://torg.book-online.ru/photo_book/9675950.jpg" TargetMode="External" Id="rId159" /><Relationship Type="http://schemas.openxmlformats.org/officeDocument/2006/relationships/hyperlink" Target="http://torg.book-online.ru/photo_book/11287240.jpg" TargetMode="External" Id="rId160" /><Relationship Type="http://schemas.openxmlformats.org/officeDocument/2006/relationships/hyperlink" Target="http://torg.book-online.ru/photo_book/11287230.jpg" TargetMode="External" Id="rId161" /><Relationship Type="http://schemas.openxmlformats.org/officeDocument/2006/relationships/hyperlink" Target="http://torg.book-online.ru/photo_book/10535740.jpg" TargetMode="External" Id="rId162" /><Relationship Type="http://schemas.openxmlformats.org/officeDocument/2006/relationships/hyperlink" Target="http://torg.book-online.ru/photo_book/9859810.jpg" TargetMode="External" Id="rId163" /><Relationship Type="http://schemas.openxmlformats.org/officeDocument/2006/relationships/hyperlink" Target="http://torg.book-online.ru/photo_book/10409710.jpg" TargetMode="External" Id="rId164" /><Relationship Type="http://schemas.openxmlformats.org/officeDocument/2006/relationships/hyperlink" Target="http://torg.book-online.ru/photo_book/9855480.jpg" TargetMode="External" Id="rId165" /><Relationship Type="http://schemas.openxmlformats.org/officeDocument/2006/relationships/hyperlink" Target="http://torg.book-online.ru/photo_book/10945370.jpg" TargetMode="External" Id="rId166" /><Relationship Type="http://schemas.openxmlformats.org/officeDocument/2006/relationships/hyperlink" Target="http://torg.book-online.ru/photo_book/9861510.jpg" TargetMode="External" Id="rId167" /><Relationship Type="http://schemas.openxmlformats.org/officeDocument/2006/relationships/hyperlink" Target="http://torg.book-online.ru/photo_book/11375720.jpg" TargetMode="External" Id="rId168" /><Relationship Type="http://schemas.openxmlformats.org/officeDocument/2006/relationships/hyperlink" Target="http://torg.book-online.ru/photo_book/10169150.jpg" TargetMode="External" Id="rId169" /><Relationship Type="http://schemas.openxmlformats.org/officeDocument/2006/relationships/hyperlink" Target="http://torg.book-online.ru/photo_book/10701950.jpg" TargetMode="External" Id="rId170" /><Relationship Type="http://schemas.openxmlformats.org/officeDocument/2006/relationships/hyperlink" Target="http://torg.book-online.ru/photo_book/8828170.jpg" TargetMode="External" Id="rId171" /><Relationship Type="http://schemas.openxmlformats.org/officeDocument/2006/relationships/hyperlink" Target="http://torg.book-online.ru/photo_book/11800710.jpg" TargetMode="External" Id="rId172" /><Relationship Type="http://schemas.openxmlformats.org/officeDocument/2006/relationships/hyperlink" Target="http://torg.book-online.ru/photo_book/10040680.jpg" TargetMode="External" Id="rId173" /><Relationship Type="http://schemas.openxmlformats.org/officeDocument/2006/relationships/hyperlink" Target="http://torg.book-online.ru/photo_book/10166380.jpg" TargetMode="External" Id="rId174" /><Relationship Type="http://schemas.openxmlformats.org/officeDocument/2006/relationships/hyperlink" Target="http://torg.book-online.ru/photo_book/9768900.jpg" TargetMode="External" Id="rId175" /><Relationship Type="http://schemas.openxmlformats.org/officeDocument/2006/relationships/hyperlink" Target="http://torg.book-online.ru/photo_book/9797710.jpg" TargetMode="External" Id="rId176" /><Relationship Type="http://schemas.openxmlformats.org/officeDocument/2006/relationships/hyperlink" Target="http://torg.book-online.ru/photo_book/11663740.jpg" TargetMode="External" Id="rId177" /><Relationship Type="http://schemas.openxmlformats.org/officeDocument/2006/relationships/hyperlink" Target="http://torg.book-online.ru/photo_book/9972730.jpg" TargetMode="External" Id="rId178" /><Relationship Type="http://schemas.openxmlformats.org/officeDocument/2006/relationships/hyperlink" Target="http://torg.book-online.ru/photo_book/10664790.jpg" TargetMode="External" Id="rId179" /><Relationship Type="http://schemas.openxmlformats.org/officeDocument/2006/relationships/hyperlink" Target="http://torg.book-online.ru/photo_book/10012060.jpg" TargetMode="External" Id="rId180" /><Relationship Type="http://schemas.openxmlformats.org/officeDocument/2006/relationships/hyperlink" Target="http://torg.book-online.ru/photo_book/9671800.jpg" TargetMode="External" Id="rId181" /><Relationship Type="http://schemas.openxmlformats.org/officeDocument/2006/relationships/hyperlink" Target="http://torg.book-online.ru/photo_book/9797020.jpg" TargetMode="External" Id="rId182" /><Relationship Type="http://schemas.openxmlformats.org/officeDocument/2006/relationships/hyperlink" Target="http://torg.book-online.ru/photo_book/9855130.jpg" TargetMode="External" Id="rId183" /><Relationship Type="http://schemas.openxmlformats.org/officeDocument/2006/relationships/hyperlink" Target="http://torg.book-online.ru/photo_book/9797220.jpg" TargetMode="External" Id="rId184" /><Relationship Type="http://schemas.openxmlformats.org/officeDocument/2006/relationships/hyperlink" Target="http://torg.book-online.ru/photo_book/10479590.jpg" TargetMode="External" Id="rId185" /><Relationship Type="http://schemas.openxmlformats.org/officeDocument/2006/relationships/hyperlink" Target="http://torg.book-online.ru/photo_book/11664310.jpg" TargetMode="External" Id="rId186" /><Relationship Type="http://schemas.openxmlformats.org/officeDocument/2006/relationships/hyperlink" Target="http://torg.book-online.ru/photo_book/10039690.jpg" TargetMode="External" Id="rId187" /><Relationship Type="http://schemas.openxmlformats.org/officeDocument/2006/relationships/hyperlink" Target="http://torg.book-online.ru/photo_book/10238960.jpg" TargetMode="External" Id="rId188" /><Relationship Type="http://schemas.openxmlformats.org/officeDocument/2006/relationships/hyperlink" Target="http://torg.book-online.ru/photo_book/10945330.jpg" TargetMode="External" Id="rId189" /><Relationship Type="http://schemas.openxmlformats.org/officeDocument/2006/relationships/hyperlink" Target="http://torg.book-online.ru/photo_book/9733710.jpg" TargetMode="External" Id="rId190" /><Relationship Type="http://schemas.openxmlformats.org/officeDocument/2006/relationships/hyperlink" Target="http://torg.book-online.ru/photo_book/9866250.jpg" TargetMode="External" Id="rId191" /><Relationship Type="http://schemas.openxmlformats.org/officeDocument/2006/relationships/hyperlink" Target="http://torg.book-online.ru/photo_book/11663950.jpg" TargetMode="External" Id="rId192" /><Relationship Type="http://schemas.openxmlformats.org/officeDocument/2006/relationships/hyperlink" Target="http://torg.book-online.ru/photo_book/10945410.jpg" TargetMode="External" Id="rId193" /><Relationship Type="http://schemas.openxmlformats.org/officeDocument/2006/relationships/hyperlink" Target="http://torg.book-online.ru/photo_book/11746640.jpg" TargetMode="External" Id="rId194" /><Relationship Type="http://schemas.openxmlformats.org/officeDocument/2006/relationships/hyperlink" Target="http://torg.book-online.ru/photo_book/11169160.jpg" TargetMode="External" Id="rId195" /><Relationship Type="http://schemas.openxmlformats.org/officeDocument/2006/relationships/hyperlink" Target="http://torg.book-online.ru/photo_book/9714570.jpg" TargetMode="External" Id="rId196" /><Relationship Type="http://schemas.openxmlformats.org/officeDocument/2006/relationships/hyperlink" Target="http://torg.book-online.ru/photo_book/10040030.jpg" TargetMode="External" Id="rId197" /><Relationship Type="http://schemas.openxmlformats.org/officeDocument/2006/relationships/hyperlink" Target="http://torg.book-online.ru/photo_book/10033420.jpg" TargetMode="External" Id="rId198" /><Relationship Type="http://schemas.openxmlformats.org/officeDocument/2006/relationships/hyperlink" Target="http://torg.book-online.ru/photo_book/9745130.jpg" TargetMode="External" Id="rId199" /><Relationship Type="http://schemas.openxmlformats.org/officeDocument/2006/relationships/hyperlink" Target="http://torg.book-online.ru/photo_book/10702360.jpg" TargetMode="External" Id="rId200" /><Relationship Type="http://schemas.openxmlformats.org/officeDocument/2006/relationships/hyperlink" Target="http://torg.book-online.ru/photo_book/11092210.jpg" TargetMode="External" Id="rId201" /><Relationship Type="http://schemas.openxmlformats.org/officeDocument/2006/relationships/hyperlink" Target="http://torg.book-online.ru/photo_book/9978530.jpg" TargetMode="External" Id="rId202" /><Relationship Type="http://schemas.openxmlformats.org/officeDocument/2006/relationships/hyperlink" Target="http://torg.book-online.ru/photo_book/9705110.jpg" TargetMode="External" Id="rId203" /><Relationship Type="http://schemas.openxmlformats.org/officeDocument/2006/relationships/hyperlink" Target="http://torg.book-online.ru/photo_book/10232820.jpg" TargetMode="External" Id="rId204" /><Relationship Type="http://schemas.openxmlformats.org/officeDocument/2006/relationships/hyperlink" Target="http://torg.book-online.ru/photo_book/9690140.jpg" TargetMode="External" Id="rId205" /><Relationship Type="http://schemas.openxmlformats.org/officeDocument/2006/relationships/hyperlink" Target="http://torg.book-online.ru/photo_book/10162230.jpg" TargetMode="External" Id="rId206" /><Relationship Type="http://schemas.openxmlformats.org/officeDocument/2006/relationships/hyperlink" Target="http://torg.book-online.ru/photo_book/10646110.jpg" TargetMode="External" Id="rId207" /><Relationship Type="http://schemas.openxmlformats.org/officeDocument/2006/relationships/hyperlink" Target="http://torg.book-online.ru/photo_book/9610840.jpg" TargetMode="External" Id="rId208" /><Relationship Type="http://schemas.openxmlformats.org/officeDocument/2006/relationships/hyperlink" Target="http://torg.book-online.ru/photo_book/9648480.jpg" TargetMode="External" Id="rId209" /><Relationship Type="http://schemas.openxmlformats.org/officeDocument/2006/relationships/hyperlink" Target="http://torg.book-online.ru/photo_book/10736800.jpg" TargetMode="External" Id="rId210" /><Relationship Type="http://schemas.openxmlformats.org/officeDocument/2006/relationships/hyperlink" Target="http://torg.book-online.ru/photo_book/10238800.jpg" TargetMode="External" Id="rId211" /><Relationship Type="http://schemas.openxmlformats.org/officeDocument/2006/relationships/hyperlink" Target="http://torg.book-online.ru/photo_book/9668140.jpg" TargetMode="External" Id="rId212" /><Relationship Type="http://schemas.openxmlformats.org/officeDocument/2006/relationships/hyperlink" Target="http://torg.book-online.ru/photo_book/10167610.jpg" TargetMode="External" Id="rId213" /><Relationship Type="http://schemas.openxmlformats.org/officeDocument/2006/relationships/hyperlink" Target="http://torg.book-online.ru/photo_book/9859460.jpg" TargetMode="External" Id="rId214" /><Relationship Type="http://schemas.openxmlformats.org/officeDocument/2006/relationships/hyperlink" Target="http://torg.book-online.ru/photo_book/9766050.jpg" TargetMode="External" Id="rId215" /><Relationship Type="http://schemas.openxmlformats.org/officeDocument/2006/relationships/hyperlink" Target="http://torg.book-online.ru/photo_book/10367310.jpg" TargetMode="External" Id="rId216" /><Relationship Type="http://schemas.openxmlformats.org/officeDocument/2006/relationships/hyperlink" Target="http://torg.book-online.ru/photo_book/9681480.jpg" TargetMode="External" Id="rId217" /><Relationship Type="http://schemas.openxmlformats.org/officeDocument/2006/relationships/hyperlink" Target="http://torg.book-online.ru/photo_book/10232870.jpg" TargetMode="External" Id="rId218" /><Relationship Type="http://schemas.openxmlformats.org/officeDocument/2006/relationships/hyperlink" Target="http://torg.book-online.ru/photo_book/10151040.jpg" TargetMode="External" Id="rId219" /><Relationship Type="http://schemas.openxmlformats.org/officeDocument/2006/relationships/hyperlink" Target="http://torg.book-online.ru/photo_book/9769380.jpg" TargetMode="External" Id="rId220" /><Relationship Type="http://schemas.openxmlformats.org/officeDocument/2006/relationships/hyperlink" Target="http://torg.book-online.ru/photo_book/8452410.jpg" TargetMode="External" Id="rId221" /><Relationship Type="http://schemas.openxmlformats.org/officeDocument/2006/relationships/hyperlink" Target="http://torg.book-online.ru/photo_book/9764190.jpg" TargetMode="External" Id="rId222" /><Relationship Type="http://schemas.openxmlformats.org/officeDocument/2006/relationships/hyperlink" Target="http://torg.book-online.ru/photo_book/9727400.jpg" TargetMode="External" Id="rId223" /><Relationship Type="http://schemas.openxmlformats.org/officeDocument/2006/relationships/hyperlink" Target="http://torg.book-online.ru/photo_book/9699760.jpg" TargetMode="External" Id="rId224" /><Relationship Type="http://schemas.openxmlformats.org/officeDocument/2006/relationships/hyperlink" Target="http://torg.book-online.ru/photo_book/9709510.jpg" TargetMode="External" Id="rId225" /><Relationship Type="http://schemas.openxmlformats.org/officeDocument/2006/relationships/hyperlink" Target="http://torg.book-online.ru/photo_book/9687810.jpg" TargetMode="External" Id="rId226" /><Relationship Type="http://schemas.openxmlformats.org/officeDocument/2006/relationships/hyperlink" Target="http://torg.book-online.ru/photo_book/9797790.jpg" TargetMode="External" Id="rId227" /><Relationship Type="http://schemas.openxmlformats.org/officeDocument/2006/relationships/hyperlink" Target="http://torg.book-online.ru/photo_book/8558590.jpg" TargetMode="External" Id="rId228" /><Relationship Type="http://schemas.openxmlformats.org/officeDocument/2006/relationships/hyperlink" Target="http://torg.book-online.ru/photo_book/9709650.jpg" TargetMode="External" Id="rId229" /><Relationship Type="http://schemas.openxmlformats.org/officeDocument/2006/relationships/hyperlink" Target="http://torg.book-online.ru/photo_book/9733250.jpg" TargetMode="External" Id="rId230" /><Relationship Type="http://schemas.openxmlformats.org/officeDocument/2006/relationships/hyperlink" Target="http://torg.book-online.ru/photo_book/9792200.jpg" TargetMode="External" Id="rId231" /><Relationship Type="http://schemas.openxmlformats.org/officeDocument/2006/relationships/hyperlink" Target="http://torg.book-online.ru/photo_book/9680460.jpg" TargetMode="External" Id="rId232" /><Relationship Type="http://schemas.openxmlformats.org/officeDocument/2006/relationships/hyperlink" Target="http://torg.book-online.ru/photo_book/9989540.jpg" TargetMode="External" Id="rId233" /><Relationship Type="http://schemas.openxmlformats.org/officeDocument/2006/relationships/hyperlink" Target="http://torg.book-online.ru/photo_book/9624510.jpg" TargetMode="External" Id="rId234" /><Relationship Type="http://schemas.openxmlformats.org/officeDocument/2006/relationships/hyperlink" Target="http://torg.book-online.ru/photo_book/10160480.jpg" TargetMode="External" Id="rId235" /><Relationship Type="http://schemas.openxmlformats.org/officeDocument/2006/relationships/hyperlink" Target="http://torg.book-online.ru/photo_book/9681490.jpg" TargetMode="External" Id="rId236" /><Relationship Type="http://schemas.openxmlformats.org/officeDocument/2006/relationships/hyperlink" Target="http://torg.book-online.ru/photo_book/10134210.jpg" TargetMode="External" Id="rId237" /><Relationship Type="http://schemas.openxmlformats.org/officeDocument/2006/relationships/hyperlink" Target="http://torg.book-online.ru/photo_book/10017160.jpg" TargetMode="External" Id="rId238" /><Relationship Type="http://schemas.openxmlformats.org/officeDocument/2006/relationships/hyperlink" Target="http://torg.book-online.ru/photo_book/9794700.jpg" TargetMode="External" Id="rId239" /><Relationship Type="http://schemas.openxmlformats.org/officeDocument/2006/relationships/hyperlink" Target="http://torg.book-online.ru/photo_book/9696110.jpg" TargetMode="External" Id="rId240" /><Relationship Type="http://schemas.openxmlformats.org/officeDocument/2006/relationships/hyperlink" Target="http://torg.book-online.ru/photo_book/9691060.jpg" TargetMode="External" Id="rId241" /><Relationship Type="http://schemas.openxmlformats.org/officeDocument/2006/relationships/hyperlink" Target="http://torg.book-online.ru/photo_book/9698790.jpg" TargetMode="External" Id="rId242" /><Relationship Type="http://schemas.openxmlformats.org/officeDocument/2006/relationships/hyperlink" Target="http://torg.book-online.ru/photo_book/9965610.jpg" TargetMode="External" Id="rId243" /><Relationship Type="http://schemas.openxmlformats.org/officeDocument/2006/relationships/hyperlink" Target="http://torg.book-online.ru/photo_book/10266380.jpg" TargetMode="External" Id="rId244" /><Relationship Type="http://schemas.openxmlformats.org/officeDocument/2006/relationships/hyperlink" Target="http://torg.book-online.ru/photo_book/9992840.jpg" TargetMode="External" Id="rId245" /><Relationship Type="http://schemas.openxmlformats.org/officeDocument/2006/relationships/hyperlink" Target="http://torg.book-online.ru/photo_book/10763690.jpg" TargetMode="External" Id="rId246" /><Relationship Type="http://schemas.openxmlformats.org/officeDocument/2006/relationships/hyperlink" Target="http://torg.book-online.ru/photo_book/10266330.jpg" TargetMode="External" Id="rId247" /><Relationship Type="http://schemas.openxmlformats.org/officeDocument/2006/relationships/hyperlink" Target="http://torg.book-online.ru/photo_book/9693220.jpg" TargetMode="External" Id="rId248" /><Relationship Type="http://schemas.openxmlformats.org/officeDocument/2006/relationships/hyperlink" Target="http://torg.book-online.ru/photo_book/9972800.jpg" TargetMode="External" Id="rId249" /><Relationship Type="http://schemas.openxmlformats.org/officeDocument/2006/relationships/hyperlink" Target="http://torg.book-online.ru/photo_book/9793040.jpg" TargetMode="External" Id="rId250" /><Relationship Type="http://schemas.openxmlformats.org/officeDocument/2006/relationships/hyperlink" Target="http://torg.book-online.ru/photo_book/10011850.jpg" TargetMode="External" Id="rId251" /><Relationship Type="http://schemas.openxmlformats.org/officeDocument/2006/relationships/hyperlink" Target="http://torg.book-online.ru/photo_book/10162240.jpg" TargetMode="External" Id="rId252" /><Relationship Type="http://schemas.openxmlformats.org/officeDocument/2006/relationships/hyperlink" Target="http://torg.book-online.ru/photo_book/8613630.jpg" TargetMode="External" Id="rId253" /><Relationship Type="http://schemas.openxmlformats.org/officeDocument/2006/relationships/hyperlink" Target="http://torg.book-online.ru/photo_book/9733240.jpg" TargetMode="External" Id="rId254" /><Relationship Type="http://schemas.openxmlformats.org/officeDocument/2006/relationships/hyperlink" Target="http://torg.book-online.ru/photo_book/9664080.jpg" TargetMode="External" Id="rId255" /><Relationship Type="http://schemas.openxmlformats.org/officeDocument/2006/relationships/hyperlink" Target="http://torg.book-online.ru/photo_book/10284980.jpg" TargetMode="External" Id="rId256" /><Relationship Type="http://schemas.openxmlformats.org/officeDocument/2006/relationships/hyperlink" Target="http://torg.book-online.ru/photo_book/10630100.jpg" TargetMode="External" Id="rId257" /><Relationship Type="http://schemas.openxmlformats.org/officeDocument/2006/relationships/hyperlink" Target="http://torg.book-online.ru/photo_book/8621150.jpg" TargetMode="External" Id="rId258" /><Relationship Type="http://schemas.openxmlformats.org/officeDocument/2006/relationships/hyperlink" Target="http://torg.book-online.ru/photo_book/9689310.jpg" TargetMode="External" Id="rId259" /><Relationship Type="http://schemas.openxmlformats.org/officeDocument/2006/relationships/hyperlink" Target="http://torg.book-online.ru/photo_book/9727390.jpg" TargetMode="External" Id="rId260" /><Relationship Type="http://schemas.openxmlformats.org/officeDocument/2006/relationships/hyperlink" Target="http://torg.book-online.ru/photo_book/9801550.jpg" TargetMode="External" Id="rId261" /><Relationship Type="http://schemas.openxmlformats.org/officeDocument/2006/relationships/hyperlink" Target="http://torg.book-online.ru/photo_book/9613270.jpg" TargetMode="External" Id="rId262" /><Relationship Type="http://schemas.openxmlformats.org/officeDocument/2006/relationships/hyperlink" Target="http://torg.book-online.ru/photo_book/9668240.jpg" TargetMode="External" Id="rId263" /><Relationship Type="http://schemas.openxmlformats.org/officeDocument/2006/relationships/hyperlink" Target="http://torg.book-online.ru/photo_book/9671570.jpg" TargetMode="External" Id="rId264" /><Relationship Type="http://schemas.openxmlformats.org/officeDocument/2006/relationships/hyperlink" Target="http://torg.book-online.ru/photo_book/9675530.jpg" TargetMode="External" Id="rId265" /><Relationship Type="http://schemas.openxmlformats.org/officeDocument/2006/relationships/hyperlink" Target="http://torg.book-online.ru/photo_book/10229420.jpg" TargetMode="External" Id="rId266" /><Relationship Type="http://schemas.openxmlformats.org/officeDocument/2006/relationships/hyperlink" Target="http://torg.book-online.ru/photo_book/8483070.jpg" TargetMode="External" Id="rId267" /><Relationship Type="http://schemas.openxmlformats.org/officeDocument/2006/relationships/hyperlink" Target="http://torg.book-online.ru/photo_book/10233690.jpg" TargetMode="External" Id="rId268" /><Relationship Type="http://schemas.openxmlformats.org/officeDocument/2006/relationships/hyperlink" Target="http://torg.book-online.ru/photo_book/8818940.jpg" TargetMode="External" Id="rId269" /><Relationship Type="http://schemas.openxmlformats.org/officeDocument/2006/relationships/hyperlink" Target="http://torg.book-online.ru/photo_book/9715810.jpg" TargetMode="External" Id="rId270" /><Relationship Type="http://schemas.openxmlformats.org/officeDocument/2006/relationships/hyperlink" Target="http://torg.book-online.ru/photo_book/9766040.jpg" TargetMode="External" Id="rId271" /><Relationship Type="http://schemas.openxmlformats.org/officeDocument/2006/relationships/hyperlink" Target="http://torg.book-online.ru/photo_book/10134420.jpg" TargetMode="External" Id="rId272" /><Relationship Type="http://schemas.openxmlformats.org/officeDocument/2006/relationships/hyperlink" Target="http://torg.book-online.ru/photo_book/9794480.jpg" TargetMode="External" Id="rId273" /><Relationship Type="http://schemas.openxmlformats.org/officeDocument/2006/relationships/hyperlink" Target="http://torg.book-online.ru/photo_book/10723550.jpg" TargetMode="External" Id="rId274" /><Relationship Type="http://schemas.openxmlformats.org/officeDocument/2006/relationships/hyperlink" Target="http://torg.book-online.ru/photo_book/9733310.jpg" TargetMode="External" Id="rId275" /><Relationship Type="http://schemas.openxmlformats.org/officeDocument/2006/relationships/hyperlink" Target="http://torg.book-online.ru/photo_book/8852280.jpg" TargetMode="External" Id="rId276" /><Relationship Type="http://schemas.openxmlformats.org/officeDocument/2006/relationships/hyperlink" Target="http://torg.book-online.ru/photo_book/9735250.jpg" TargetMode="External" Id="rId277" /><Relationship Type="http://schemas.openxmlformats.org/officeDocument/2006/relationships/hyperlink" Target="http://torg.book-online.ru/photo_book/9679010.jpg" TargetMode="External" Id="rId278" /><Relationship Type="http://schemas.openxmlformats.org/officeDocument/2006/relationships/hyperlink" Target="http://torg.book-online.ru/photo_book/10644990.jpg" TargetMode="External" Id="rId279" /><Relationship Type="http://schemas.openxmlformats.org/officeDocument/2006/relationships/hyperlink" Target="http://torg.book-online.ru/photo_book/10689210.jpg" TargetMode="External" Id="rId280" /><Relationship Type="http://schemas.openxmlformats.org/officeDocument/2006/relationships/hyperlink" Target="http://torg.book-online.ru/photo_book/9671350.jpg" TargetMode="External" Id="rId281" /><Relationship Type="http://schemas.openxmlformats.org/officeDocument/2006/relationships/hyperlink" Target="http://torg.book-online.ru/photo_book/10232840.jpg" TargetMode="External" Id="rId282" /><Relationship Type="http://schemas.openxmlformats.org/officeDocument/2006/relationships/hyperlink" Target="http://torg.book-online.ru/photo_book/10748470.jpg" TargetMode="External" Id="rId283" /><Relationship Type="http://schemas.openxmlformats.org/officeDocument/2006/relationships/hyperlink" Target="http://torg.book-online.ru/photo_book/9735270.jpg" TargetMode="External" Id="rId284" /><Relationship Type="http://schemas.openxmlformats.org/officeDocument/2006/relationships/hyperlink" Target="http://torg.book-online.ru/photo_book/9859450.jpg" TargetMode="External" Id="rId285" /><Relationship Type="http://schemas.openxmlformats.org/officeDocument/2006/relationships/hyperlink" Target="http://torg.book-online.ru/photo_book/9972380.jpg" TargetMode="External" Id="rId286" /><Relationship Type="http://schemas.openxmlformats.org/officeDocument/2006/relationships/hyperlink" Target="http://torg.book-online.ru/photo_book/9667150.jpg" TargetMode="External" Id="rId287" /><Relationship Type="http://schemas.openxmlformats.org/officeDocument/2006/relationships/hyperlink" Target="http://torg.book-online.ru/photo_book/10419910.jpg" TargetMode="External" Id="rId288" /><Relationship Type="http://schemas.openxmlformats.org/officeDocument/2006/relationships/hyperlink" Target="http://torg.book-online.ru/photo_book/9563190.jpg" TargetMode="External" Id="rId289" /><Relationship Type="http://schemas.openxmlformats.org/officeDocument/2006/relationships/hyperlink" Target="http://torg.book-online.ru/photo_book/9942710.jpg" TargetMode="External" Id="rId290" /><Relationship Type="http://schemas.openxmlformats.org/officeDocument/2006/relationships/hyperlink" Target="http://torg.book-online.ru/photo_book/9602490.jpg" TargetMode="External" Id="rId291" /><Relationship Type="http://schemas.openxmlformats.org/officeDocument/2006/relationships/hyperlink" Target="http://torg.book-online.ru/photo_book/9821490.jpg" TargetMode="External" Id="rId292" /><Relationship Type="http://schemas.openxmlformats.org/officeDocument/2006/relationships/hyperlink" Target="http://torg.book-online.ru/photo_book/10011860.jpg" TargetMode="External" Id="rId293" /><Relationship Type="http://schemas.openxmlformats.org/officeDocument/2006/relationships/hyperlink" Target="http://torg.book-online.ru/photo_book/9793830.jpg" TargetMode="External" Id="rId294" /><Relationship Type="http://schemas.openxmlformats.org/officeDocument/2006/relationships/hyperlink" Target="http://torg.book-online.ru/photo_book/8652070.jpg" TargetMode="External" Id="rId295" /><Relationship Type="http://schemas.openxmlformats.org/officeDocument/2006/relationships/hyperlink" Target="http://torg.book-online.ru/photo_book/8556360.jpg" TargetMode="External" Id="rId296" /><Relationship Type="http://schemas.openxmlformats.org/officeDocument/2006/relationships/hyperlink" Target="http://torg.book-online.ru/photo_book/9975500.jpg" TargetMode="External" Id="rId297" /><Relationship Type="http://schemas.openxmlformats.org/officeDocument/2006/relationships/hyperlink" Target="http://torg.book-online.ru/photo_book/9455450.jpg" TargetMode="External" Id="rId298" /><Relationship Type="http://schemas.openxmlformats.org/officeDocument/2006/relationships/hyperlink" Target="http://torg.book-online.ru/photo_book/10402940.jpg" TargetMode="External" Id="rId299" /><Relationship Type="http://schemas.openxmlformats.org/officeDocument/2006/relationships/hyperlink" Target="http://torg.book-online.ru/photo_book/10019500.jpg" TargetMode="External" Id="rId300" /><Relationship Type="http://schemas.openxmlformats.org/officeDocument/2006/relationships/hyperlink" Target="http://torg.book-online.ru/photo_book/9696100.jpg" TargetMode="External" Id="rId301" /><Relationship Type="http://schemas.openxmlformats.org/officeDocument/2006/relationships/hyperlink" Target="http://torg.book-online.ru/photo_book/9668220.jpg" TargetMode="External" Id="rId302" /><Relationship Type="http://schemas.openxmlformats.org/officeDocument/2006/relationships/hyperlink" Target="http://torg.book-online.ru/photo_book/9733230.jpg" TargetMode="External" Id="rId303" /><Relationship Type="http://schemas.openxmlformats.org/officeDocument/2006/relationships/hyperlink" Target="http://torg.book-online.ru/photo_book/9965600.jpg" TargetMode="External" Id="rId304" /><Relationship Type="http://schemas.openxmlformats.org/officeDocument/2006/relationships/hyperlink" Target="http://torg.book-online.ru/photo_book/9723200.jpg" TargetMode="External" Id="rId305" /><Relationship Type="http://schemas.openxmlformats.org/officeDocument/2006/relationships/hyperlink" Target="http://torg.book-online.ru/photo_book/10453410.jpg" TargetMode="External" Id="rId306" /><Relationship Type="http://schemas.openxmlformats.org/officeDocument/2006/relationships/hyperlink" Target="http://torg.book-online.ru/photo_book/10512010.jpg" TargetMode="External" Id="rId307" /><Relationship Type="http://schemas.openxmlformats.org/officeDocument/2006/relationships/hyperlink" Target="http://torg.book-online.ru/photo_book/10455520.jpg" TargetMode="External" Id="rId308" /><Relationship Type="http://schemas.openxmlformats.org/officeDocument/2006/relationships/hyperlink" Target="http://torg.book-online.ru/photo_book/10462790.jpg" TargetMode="External" Id="rId309" /><Relationship Type="http://schemas.openxmlformats.org/officeDocument/2006/relationships/hyperlink" Target="http://torg.book-online.ru/photo_book/10452490.jpg" TargetMode="External" Id="rId310" /><Relationship Type="http://schemas.openxmlformats.org/officeDocument/2006/relationships/hyperlink" Target="http://torg.book-online.ru/photo_book/10461640.jpg" TargetMode="External" Id="rId311" /><Relationship Type="http://schemas.openxmlformats.org/officeDocument/2006/relationships/hyperlink" Target="http://torg.book-online.ru/photo_book/10238980.jpg" TargetMode="External" Id="rId312" /><Relationship Type="http://schemas.openxmlformats.org/officeDocument/2006/relationships/hyperlink" Target="http://torg.book-online.ru/photo_book/11027960.jpg" TargetMode="External" Id="rId313" /><Relationship Type="http://schemas.openxmlformats.org/officeDocument/2006/relationships/hyperlink" Target="http://torg.book-online.ru/photo_book/11420000.jpg" TargetMode="External" Id="rId314" /><Relationship Type="http://schemas.openxmlformats.org/officeDocument/2006/relationships/hyperlink" Target="http://torg.book-online.ru/photo_book/11254910.jpg" TargetMode="External" Id="rId315" /><Relationship Type="http://schemas.openxmlformats.org/officeDocument/2006/relationships/hyperlink" Target="http://torg.book-online.ru/photo_book/11255070.jpg" TargetMode="External" Id="rId316" /><Relationship Type="http://schemas.openxmlformats.org/officeDocument/2006/relationships/hyperlink" Target="http://torg.book-online.ru/photo_book/9349270.jpg" TargetMode="External" Id="rId317" /><Relationship Type="http://schemas.openxmlformats.org/officeDocument/2006/relationships/hyperlink" Target="http://torg.book-online.ru/photo_book/9709500.jpg" TargetMode="External" Id="rId318" /><Relationship Type="http://schemas.openxmlformats.org/officeDocument/2006/relationships/hyperlink" Target="http://torg.book-online.ru/photo_book/4528530.jpg" TargetMode="External" Id="rId319" /><Relationship Type="http://schemas.openxmlformats.org/officeDocument/2006/relationships/hyperlink" Target="http://torg.book-online.ru/photo_book/10373390.jpg" TargetMode="External" Id="rId320" /><Relationship Type="http://schemas.openxmlformats.org/officeDocument/2006/relationships/hyperlink" Target="http://torg.book-online.ru/photo_book/8559520.jpg" TargetMode="External" Id="rId321" /><Relationship Type="http://schemas.openxmlformats.org/officeDocument/2006/relationships/hyperlink" Target="http://torg.book-online.ru/photo_book/10373400.jpg" TargetMode="External" Id="rId322" /><Relationship Type="http://schemas.openxmlformats.org/officeDocument/2006/relationships/hyperlink" Target="http://torg.book-online.ru/photo_book/10499720.jpg" TargetMode="External" Id="rId323" /><Relationship Type="http://schemas.openxmlformats.org/officeDocument/2006/relationships/hyperlink" Target="http://torg.book-online.ru/photo_book/9298700.jpg" TargetMode="External" Id="rId324" /><Relationship Type="http://schemas.openxmlformats.org/officeDocument/2006/relationships/hyperlink" Target="http://torg.book-online.ru/photo_book/11116440.jpg" TargetMode="External" Id="rId325" /><Relationship Type="http://schemas.openxmlformats.org/officeDocument/2006/relationships/hyperlink" Target="http://torg.book-online.ru/photo_book/9285120.jpg" TargetMode="External" Id="rId326" /><Relationship Type="http://schemas.openxmlformats.org/officeDocument/2006/relationships/hyperlink" Target="http://torg.book-online.ru/photo_book/10401050.jpg" TargetMode="External" Id="rId327" /><Relationship Type="http://schemas.openxmlformats.org/officeDocument/2006/relationships/hyperlink" Target="http://torg.book-online.ru/photo_book/10401040.jpg" TargetMode="External" Id="rId328" /><Relationship Type="http://schemas.openxmlformats.org/officeDocument/2006/relationships/hyperlink" Target="http://torg.book-online.ru/photo_book/12196390.jpg" TargetMode="External" Id="rId329" /><Relationship Type="http://schemas.openxmlformats.org/officeDocument/2006/relationships/hyperlink" Target="http://torg.book-online.ru/photo_book/9399680.jpg" TargetMode="External" Id="rId330" /><Relationship Type="http://schemas.openxmlformats.org/officeDocument/2006/relationships/hyperlink" Target="http://torg.book-online.ru/photo_book/8613270.jpg" TargetMode="External" Id="rId331" /><Relationship Type="http://schemas.openxmlformats.org/officeDocument/2006/relationships/hyperlink" Target="http://torg.book-online.ru/photo_book/9256450.jpg" TargetMode="External" Id="rId332" /><Relationship Type="http://schemas.openxmlformats.org/officeDocument/2006/relationships/hyperlink" Target="http://torg.book-online.ru/photo_book/11116430.jpg" TargetMode="External" Id="rId333" /><Relationship Type="http://schemas.openxmlformats.org/officeDocument/2006/relationships/hyperlink" Target="http://torg.book-online.ru/photo_book/9356980.jpg" TargetMode="External" Id="rId334" /><Relationship Type="http://schemas.openxmlformats.org/officeDocument/2006/relationships/hyperlink" Target="http://torg.book-online.ru/photo_book/10943800.jpg" TargetMode="External" Id="rId335" /><Relationship Type="http://schemas.openxmlformats.org/officeDocument/2006/relationships/hyperlink" Target="http://torg.book-online.ru/photo_book/10535510.jpg" TargetMode="External" Id="rId336" /><Relationship Type="http://schemas.openxmlformats.org/officeDocument/2006/relationships/hyperlink" Target="http://torg.book-online.ru/photo_book/10455010.jpg" TargetMode="External" Id="rId337" /><Relationship Type="http://schemas.openxmlformats.org/officeDocument/2006/relationships/hyperlink" Target="http://torg.book-online.ru/photo_book/9257030.jpg" TargetMode="External" Id="rId338" /><Relationship Type="http://schemas.openxmlformats.org/officeDocument/2006/relationships/hyperlink" Target="http://torg.book-online.ru/photo_book/12196200.jpg" TargetMode="External" Id="rId339" /><Relationship Type="http://schemas.openxmlformats.org/officeDocument/2006/relationships/hyperlink" Target="http://torg.book-online.ru/photo_book/10410380.jpg" TargetMode="External" Id="rId340" /><Relationship Type="http://schemas.openxmlformats.org/officeDocument/2006/relationships/hyperlink" Target="http://torg.book-online.ru/photo_book/9400150.jpg" TargetMode="External" Id="rId341" /><Relationship Type="http://schemas.openxmlformats.org/officeDocument/2006/relationships/hyperlink" Target="http://torg.book-online.ru/photo_book/10943810.jpg" TargetMode="External" Id="rId342" /><Relationship Type="http://schemas.openxmlformats.org/officeDocument/2006/relationships/hyperlink" Target="http://torg.book-online.ru/photo_book/10943820.jpg" TargetMode="External" Id="rId343" /><Relationship Type="http://schemas.openxmlformats.org/officeDocument/2006/relationships/hyperlink" Target="http://torg.book-online.ru/photo_book/9233970.jpg" TargetMode="External" Id="rId344" /><Relationship Type="http://schemas.openxmlformats.org/officeDocument/2006/relationships/hyperlink" Target="http://torg.book-online.ru/photo_book/9284320.jpg" TargetMode="External" Id="rId345" /><Relationship Type="http://schemas.openxmlformats.org/officeDocument/2006/relationships/hyperlink" Target="http://torg.book-online.ru/photo_book/9258210.jpg" TargetMode="External" Id="rId346" /><Relationship Type="http://schemas.openxmlformats.org/officeDocument/2006/relationships/hyperlink" Target="http://torg.book-online.ru/photo_book/10943890.jpg" TargetMode="External" Id="rId347" /><Relationship Type="http://schemas.openxmlformats.org/officeDocument/2006/relationships/hyperlink" Target="http://torg.book-online.ru/photo_book/9726270.jpg" TargetMode="External" Id="rId348" /><Relationship Type="http://schemas.openxmlformats.org/officeDocument/2006/relationships/hyperlink" Target="http://torg.book-online.ru/photo_book/11618920.jpg" TargetMode="External" Id="rId349" /><Relationship Type="http://schemas.openxmlformats.org/officeDocument/2006/relationships/hyperlink" Target="http://torg.book-online.ru/photo_book/10943980.jpg" TargetMode="External" Id="rId350" /><Relationship Type="http://schemas.openxmlformats.org/officeDocument/2006/relationships/hyperlink" Target="http://torg.book-online.ru/photo_book/9273050.jpg" TargetMode="External" Id="rId351" /><Relationship Type="http://schemas.openxmlformats.org/officeDocument/2006/relationships/hyperlink" Target="http://torg.book-online.ru/photo_book/9270850.jpg" TargetMode="External" Id="rId352" /><Relationship Type="http://schemas.openxmlformats.org/officeDocument/2006/relationships/hyperlink" Target="http://torg.book-online.ru/photo_book/9270860.jpg" TargetMode="External" Id="rId353" /><Relationship Type="http://schemas.openxmlformats.org/officeDocument/2006/relationships/hyperlink" Target="http://torg.book-online.ru/photo_book/9399610.jpg" TargetMode="External" Id="rId354" /><Relationship Type="http://schemas.openxmlformats.org/officeDocument/2006/relationships/hyperlink" Target="http://torg.book-online.ru/photo_book/10236540.jpg" TargetMode="External" Id="rId355" /><Relationship Type="http://schemas.openxmlformats.org/officeDocument/2006/relationships/hyperlink" Target="http://torg.book-online.ru/photo_book/9208070.jpg" TargetMode="External" Id="rId356" /><Relationship Type="http://schemas.openxmlformats.org/officeDocument/2006/relationships/hyperlink" Target="http://torg.book-online.ru/photo_book/6023810.jpg" TargetMode="External" Id="rId357" /><Relationship Type="http://schemas.openxmlformats.org/officeDocument/2006/relationships/hyperlink" Target="http://torg.book-online.ru/photo_book/6071320.jpg" TargetMode="External" Id="rId358" /><Relationship Type="http://schemas.openxmlformats.org/officeDocument/2006/relationships/hyperlink" Target="http://torg.book-online.ru/photo_book/9187370.jpg" TargetMode="External" Id="rId359" /><Relationship Type="http://schemas.openxmlformats.org/officeDocument/2006/relationships/hyperlink" Target="http://torg.book-online.ru/photo_book/9133360.jpg" TargetMode="External" Id="rId360" /><Relationship Type="http://schemas.openxmlformats.org/officeDocument/2006/relationships/hyperlink" Target="http://torg.book-online.ru/photo_book/8613260.jpg" TargetMode="External" Id="rId361" /><Relationship Type="http://schemas.openxmlformats.org/officeDocument/2006/relationships/hyperlink" Target="http://torg.book-online.ru/photo_book/7566030.jpg" TargetMode="External" Id="rId362" /><Relationship Type="http://schemas.openxmlformats.org/officeDocument/2006/relationships/hyperlink" Target="http://torg.book-online.ru/photo_book/10581830.jpg" TargetMode="External" Id="rId363" /><Relationship Type="http://schemas.openxmlformats.org/officeDocument/2006/relationships/hyperlink" Target="http://torg.book-online.ru/photo_book/8453860.jpg" TargetMode="External" Id="rId364" /><Relationship Type="http://schemas.openxmlformats.org/officeDocument/2006/relationships/hyperlink" Target="http://torg.book-online.ru/photo_book/8290860.jpg" TargetMode="External" Id="rId365" /><Relationship Type="http://schemas.openxmlformats.org/officeDocument/2006/relationships/hyperlink" Target="http://torg.book-online.ru/photo_book/10409640.jpg" TargetMode="External" Id="rId366" /><Relationship Type="http://schemas.openxmlformats.org/officeDocument/2006/relationships/hyperlink" Target="http://torg.book-online.ru/photo_book/10409480.jpg" TargetMode="External" Id="rId367" /><Relationship Type="http://schemas.openxmlformats.org/officeDocument/2006/relationships/hyperlink" Target="http://torg.book-online.ru/photo_book/10499490.jpg" TargetMode="External" Id="rId368" /><Relationship Type="http://schemas.openxmlformats.org/officeDocument/2006/relationships/hyperlink" Target="http://torg.book-online.ru/photo_book/10488800.jpg" TargetMode="External" Id="rId369" /><Relationship Type="http://schemas.openxmlformats.org/officeDocument/2006/relationships/hyperlink" Target="http://torg.book-online.ru/photo_book/10409470.jpg" TargetMode="External" Id="rId370" /><Relationship Type="http://schemas.openxmlformats.org/officeDocument/2006/relationships/hyperlink" Target="http://torg.book-online.ru/photo_book/11118070.jpg" TargetMode="External" Id="rId371" /><Relationship Type="http://schemas.openxmlformats.org/officeDocument/2006/relationships/hyperlink" Target="http://torg.book-online.ru/photo_book/9053750.jpg" TargetMode="External" Id="rId372" /><Relationship Type="http://schemas.openxmlformats.org/officeDocument/2006/relationships/hyperlink" Target="http://torg.book-online.ru/photo_book/9062090.jpg" TargetMode="External" Id="rId373" /><Relationship Type="http://schemas.openxmlformats.org/officeDocument/2006/relationships/hyperlink" Target="http://torg.book-online.ru/photo_book/9675470.jpg" TargetMode="External" Id="rId374" /><Relationship Type="http://schemas.openxmlformats.org/officeDocument/2006/relationships/hyperlink" Target="http://torg.book-online.ru/photo_book/9703310.jpg" TargetMode="External" Id="rId375" /><Relationship Type="http://schemas.openxmlformats.org/officeDocument/2006/relationships/hyperlink" Target="http://torg.book-online.ru/photo_book/11577900.jpg" TargetMode="External" Id="rId376" /><Relationship Type="http://schemas.openxmlformats.org/officeDocument/2006/relationships/hyperlink" Target="http://torg.book-online.ru/photo_book/9879830.jpg" TargetMode="External" Id="rId377" /><Relationship Type="http://schemas.openxmlformats.org/officeDocument/2006/relationships/hyperlink" Target="http://torg.book-online.ru/photo_book/10320100.jpg" TargetMode="External" Id="rId378" /><Relationship Type="http://schemas.openxmlformats.org/officeDocument/2006/relationships/hyperlink" Target="http://torg.book-online.ru/photo_book/10569040.jpg" TargetMode="External" Id="rId379" /><Relationship Type="http://schemas.openxmlformats.org/officeDocument/2006/relationships/hyperlink" Target="http://torg.book-online.ru/photo_book/10613790.jpg" TargetMode="External" Id="rId380" /><Relationship Type="http://schemas.openxmlformats.org/officeDocument/2006/relationships/hyperlink" Target="http://torg.book-online.ru/photo_book/11934370.jpg" TargetMode="External" Id="rId381" /><Relationship Type="http://schemas.openxmlformats.org/officeDocument/2006/relationships/hyperlink" Target="http://torg.book-online.ru/photo_book/9348600.jpg" TargetMode="External" Id="rId382" /><Relationship Type="http://schemas.openxmlformats.org/officeDocument/2006/relationships/hyperlink" Target="http://torg.book-online.ru/photo_book/9284070.jpg" TargetMode="External" Id="rId383" /><Relationship Type="http://schemas.openxmlformats.org/officeDocument/2006/relationships/hyperlink" Target="http://torg.book-online.ru/photo_book/8574000.jpg" TargetMode="External" Id="rId384" /><Relationship Type="http://schemas.openxmlformats.org/officeDocument/2006/relationships/hyperlink" Target="http://torg.book-online.ru/photo_book/8423220.jpg" TargetMode="External" Id="rId385" /><Relationship Type="http://schemas.openxmlformats.org/officeDocument/2006/relationships/hyperlink" Target="http://torg.book-online.ru/photo_book/12071100.jpg" TargetMode="External" Id="rId386" /><Relationship Type="http://schemas.openxmlformats.org/officeDocument/2006/relationships/hyperlink" Target="http://torg.book-online.ru/photo_book/12284660.jpg" TargetMode="External" Id="rId387" /><Relationship Type="http://schemas.openxmlformats.org/officeDocument/2006/relationships/hyperlink" Target="http://torg.book-online.ru/photo_book/9975510.jpg" TargetMode="External" Id="rId388" /><Relationship Type="http://schemas.openxmlformats.org/officeDocument/2006/relationships/hyperlink" Target="http://torg.book-online.ru/photo_book/9724800.jpg" TargetMode="External" Id="rId389" /><Relationship Type="http://schemas.openxmlformats.org/officeDocument/2006/relationships/hyperlink" Target="http://torg.book-online.ru/photo_book/9311610.jpg" TargetMode="External" Id="rId390" /><Relationship Type="http://schemas.openxmlformats.org/officeDocument/2006/relationships/hyperlink" Target="http://torg.book-online.ru/photo_book/9675710.jpg" TargetMode="External" Id="rId391" /><Relationship Type="http://schemas.openxmlformats.org/officeDocument/2006/relationships/hyperlink" Target="http://torg.book-online.ru/photo_book/12041840.jpg" TargetMode="External" Id="rId392" /><Relationship Type="http://schemas.openxmlformats.org/officeDocument/2006/relationships/hyperlink" Target="http://torg.book-online.ru/photo_book/12251280.jpg" TargetMode="External" Id="rId393" /><Relationship Type="http://schemas.openxmlformats.org/officeDocument/2006/relationships/hyperlink" Target="http://torg.book-online.ru/photo_book/6838920.jpg" TargetMode="External" Id="rId394" /><Relationship Type="http://schemas.openxmlformats.org/officeDocument/2006/relationships/hyperlink" Target="http://torg.book-online.ru/photo_book/11159230.jpg" TargetMode="External" Id="rId395" /><Relationship Type="http://schemas.openxmlformats.org/officeDocument/2006/relationships/hyperlink" Target="http://torg.book-online.ru/photo_book/11095770.jpg" TargetMode="External" Id="rId396" /><Relationship Type="http://schemas.openxmlformats.org/officeDocument/2006/relationships/hyperlink" Target="http://torg.book-online.ru/photo_book/8682100.jpg" TargetMode="External" Id="rId397" /><Relationship Type="http://schemas.openxmlformats.org/officeDocument/2006/relationships/hyperlink" Target="http://torg.book-online.ru/photo_book/9549470.jpg" TargetMode="External" Id="rId398" /><Relationship Type="http://schemas.openxmlformats.org/officeDocument/2006/relationships/hyperlink" Target="http://torg.book-online.ru/photo_book/6805670.jpg" TargetMode="External" Id="rId399" /><Relationship Type="http://schemas.openxmlformats.org/officeDocument/2006/relationships/hyperlink" Target="http://torg.book-online.ru/photo_book/10480100.jpg" TargetMode="External" Id="rId400" /><Relationship Type="http://schemas.openxmlformats.org/officeDocument/2006/relationships/hyperlink" Target="http://torg.book-online.ru/photo_book/10482290.jpg" TargetMode="External" Id="rId401" /><Relationship Type="http://schemas.openxmlformats.org/officeDocument/2006/relationships/hyperlink" Target="http://torg.book-online.ru/photo_book/8601420.jpg" TargetMode="External" Id="rId402" /><Relationship Type="http://schemas.openxmlformats.org/officeDocument/2006/relationships/hyperlink" Target="http://torg.book-online.ru/photo_book/10373370.jpg" TargetMode="External" Id="rId403" /><Relationship Type="http://schemas.openxmlformats.org/officeDocument/2006/relationships/hyperlink" Target="http://torg.book-online.ru/photo_book/9598890.jpg" TargetMode="External" Id="rId404" /><Relationship Type="http://schemas.openxmlformats.org/officeDocument/2006/relationships/hyperlink" Target="http://torg.book-online.ru/photo_book/8229370.jpg" TargetMode="External" Id="rId405" /><Relationship Type="http://schemas.openxmlformats.org/officeDocument/2006/relationships/hyperlink" Target="http://torg.book-online.ru/photo_book/10535750.jpg" TargetMode="External" Id="rId406" /><Relationship Type="http://schemas.openxmlformats.org/officeDocument/2006/relationships/hyperlink" Target="http://torg.book-online.ru/photo_book/11578620.jpg" TargetMode="External" Id="rId407" /><Relationship Type="http://schemas.openxmlformats.org/officeDocument/2006/relationships/hyperlink" Target="http://torg.book-online.ru/photo_book/11663970.jpg" TargetMode="External" Id="rId408" /><Relationship Type="http://schemas.openxmlformats.org/officeDocument/2006/relationships/hyperlink" Target="http://torg.book-online.ru/photo_book/11290060.jpg" TargetMode="External" Id="rId409" /><Relationship Type="http://schemas.openxmlformats.org/officeDocument/2006/relationships/hyperlink" Target="http://torg.book-online.ru/photo_book/11436270.jpg" TargetMode="External" Id="rId410" /><Relationship Type="http://schemas.openxmlformats.org/officeDocument/2006/relationships/hyperlink" Target="http://torg.book-online.ru/photo_book/11664070.jpg" TargetMode="External" Id="rId411" /><Relationship Type="http://schemas.openxmlformats.org/officeDocument/2006/relationships/hyperlink" Target="http://torg.book-online.ru/photo_book/11067710.jpg" TargetMode="External" Id="rId412" /><Relationship Type="http://schemas.openxmlformats.org/officeDocument/2006/relationships/hyperlink" Target="http://torg.book-online.ru/photo_book/11145080.jpg" TargetMode="External" Id="rId413" /><Relationship Type="http://schemas.openxmlformats.org/officeDocument/2006/relationships/hyperlink" Target="http://torg.book-online.ru/photo_book/11909630.jpg" TargetMode="External" Id="rId414" /><Relationship Type="http://schemas.openxmlformats.org/officeDocument/2006/relationships/hyperlink" Target="http://torg.book-online.ru/photo_book/11436580.jpg" TargetMode="External" Id="rId415" /><Relationship Type="http://schemas.openxmlformats.org/officeDocument/2006/relationships/hyperlink" Target="http://torg.book-online.ru/photo_book/10536280.jpg" TargetMode="External" Id="rId416" /><Relationship Type="http://schemas.openxmlformats.org/officeDocument/2006/relationships/hyperlink" Target="http://torg.book-online.ru/photo_book/10881720.jpg" TargetMode="External" Id="rId417" /><Relationship Type="http://schemas.openxmlformats.org/officeDocument/2006/relationships/hyperlink" Target="http://torg.book-online.ru/photo_book/11774620.jpg" TargetMode="External" Id="rId418" /><Relationship Type="http://schemas.openxmlformats.org/officeDocument/2006/relationships/hyperlink" Target="http://torg.book-online.ru/photo_book/10814080.jpg" TargetMode="External" Id="rId419" /><Relationship Type="http://schemas.openxmlformats.org/officeDocument/2006/relationships/hyperlink" Target="http://torg.book-online.ru/photo_book/11664340.jpg" TargetMode="External" Id="rId420" /><Relationship Type="http://schemas.openxmlformats.org/officeDocument/2006/relationships/hyperlink" Target="http://torg.book-online.ru/photo_book/11610340.jpg" TargetMode="External" Id="rId421" /><Relationship Type="http://schemas.openxmlformats.org/officeDocument/2006/relationships/hyperlink" Target="http://torg.book-online.ru/photo_book/11290130.jpg" TargetMode="External" Id="rId422" /><Relationship Type="http://schemas.openxmlformats.org/officeDocument/2006/relationships/hyperlink" Target="http://torg.book-online.ru/photo_book/10994690.jpg" TargetMode="External" Id="rId423" /><Relationship Type="http://schemas.openxmlformats.org/officeDocument/2006/relationships/hyperlink" Target="http://torg.book-online.ru/photo_book/11821600.jpg" TargetMode="External" Id="rId424" /><Relationship Type="http://schemas.openxmlformats.org/officeDocument/2006/relationships/hyperlink" Target="http://torg.book-online.ru/photo_book/10994710.jpg" TargetMode="External" Id="rId425" /><Relationship Type="http://schemas.openxmlformats.org/officeDocument/2006/relationships/hyperlink" Target="http://torg.book-online.ru/photo_book/11476240.jpg" TargetMode="External" Id="rId426" /><Relationship Type="http://schemas.openxmlformats.org/officeDocument/2006/relationships/hyperlink" Target="http://torg.book-online.ru/photo_book/10535500.jpg" TargetMode="External" Id="rId427" /><Relationship Type="http://schemas.openxmlformats.org/officeDocument/2006/relationships/hyperlink" Target="http://torg.book-online.ru/photo_book/11067720.jpg" TargetMode="External" Id="rId428" /><Relationship Type="http://schemas.openxmlformats.org/officeDocument/2006/relationships/hyperlink" Target="http://torg.book-online.ru/photo_book/11664050.jpg" TargetMode="External" Id="rId429" /><Relationship Type="http://schemas.openxmlformats.org/officeDocument/2006/relationships/hyperlink" Target="http://torg.book-online.ru/photo_book/10488810.jpg" TargetMode="External" Id="rId430" /><Relationship Type="http://schemas.openxmlformats.org/officeDocument/2006/relationships/hyperlink" Target="http://torg.book-online.ru/photo_book/11664160.jpg" TargetMode="External" Id="rId431" /><Relationship Type="http://schemas.openxmlformats.org/officeDocument/2006/relationships/hyperlink" Target="http://torg.book-online.ru/photo_book/10994700.jpg" TargetMode="External" Id="rId432" /><Relationship Type="http://schemas.openxmlformats.org/officeDocument/2006/relationships/hyperlink" Target="http://torg.book-online.ru/photo_book/11844280.jpg" TargetMode="External" Id="rId433" /><Relationship Type="http://schemas.openxmlformats.org/officeDocument/2006/relationships/hyperlink" Target="http://torg.book-online.ru/photo_book/11612830.jpg" TargetMode="External" Id="rId434" /><Relationship Type="http://schemas.openxmlformats.org/officeDocument/2006/relationships/hyperlink" Target="http://torg.book-online.ru/photo_book/10809410.jpg" TargetMode="External" Id="rId435" /><Relationship Type="http://schemas.openxmlformats.org/officeDocument/2006/relationships/hyperlink" Target="http://torg.book-online.ru/photo_book/9776030.jpg" TargetMode="External" Id="rId436" /><Relationship Type="http://schemas.openxmlformats.org/officeDocument/2006/relationships/hyperlink" Target="http://torg.book-online.ru/photo_book/9603660.jpg" TargetMode="External" Id="rId437" /><Relationship Type="http://schemas.openxmlformats.org/officeDocument/2006/relationships/hyperlink" Target="http://torg.book-online.ru/photo_book/9847360.jpg" TargetMode="External" Id="rId438" /><Relationship Type="http://schemas.openxmlformats.org/officeDocument/2006/relationships/hyperlink" Target="http://torg.book-online.ru/photo_book/10033500.jpg" TargetMode="External" Id="rId439" /><Relationship Type="http://schemas.openxmlformats.org/officeDocument/2006/relationships/hyperlink" Target="http://torg.book-online.ru/photo_book/9554690.jpg" TargetMode="External" Id="rId440" /><Relationship Type="http://schemas.openxmlformats.org/officeDocument/2006/relationships/hyperlink" Target="http://torg.book-online.ru/photo_book/12027400.jpg" TargetMode="External" Id="rId441" /><Relationship Type="http://schemas.openxmlformats.org/officeDocument/2006/relationships/hyperlink" Target="http://torg.book-online.ru/photo_book/10511990.jpg" TargetMode="External" Id="rId442" /><Relationship Type="http://schemas.openxmlformats.org/officeDocument/2006/relationships/hyperlink" Target="http://torg.book-online.ru/photo_book/8440830.jpg" TargetMode="External" Id="rId443" /><Relationship Type="http://schemas.openxmlformats.org/officeDocument/2006/relationships/hyperlink" Target="http://torg.book-online.ru/photo_book/9239220.jpg" TargetMode="External" Id="rId444" /><Relationship Type="http://schemas.openxmlformats.org/officeDocument/2006/relationships/hyperlink" Target="http://torg.book-online.ru/photo_book/11144230.jpg" TargetMode="External" Id="rId445" /><Relationship Type="http://schemas.openxmlformats.org/officeDocument/2006/relationships/hyperlink" Target="http://torg.book-online.ru/photo_book/12148210.jpg" TargetMode="External" Id="rId446" /><Relationship Type="http://schemas.openxmlformats.org/officeDocument/2006/relationships/hyperlink" Target="http://torg.book-online.ru/photo_book/12168060.jpg" TargetMode="External" Id="rId447" /><Relationship Type="http://schemas.openxmlformats.org/officeDocument/2006/relationships/hyperlink" Target="http://torg.book-online.ru/photo_book/12218820.jpg" TargetMode="External" Id="rId448" /><Relationship Type="http://schemas.openxmlformats.org/officeDocument/2006/relationships/hyperlink" Target="http://torg.book-online.ru/photo_book/12196380.jpg" TargetMode="External" Id="rId449" /><Relationship Type="http://schemas.openxmlformats.org/officeDocument/2006/relationships/hyperlink" Target="http://torg.book-online.ru/photo_book/7252090.jpg" TargetMode="External" Id="rId450" /><Relationship Type="http://schemas.openxmlformats.org/officeDocument/2006/relationships/hyperlink" Target="http://torg.book-online.ru/photo_book/7242530.jpg" TargetMode="External" Id="rId451" /><Relationship Type="http://schemas.openxmlformats.org/officeDocument/2006/relationships/hyperlink" Target="http://torg.book-online.ru/photo_book/7252060.jpg" TargetMode="External" Id="rId452" /><Relationship Type="http://schemas.openxmlformats.org/officeDocument/2006/relationships/hyperlink" Target="http://torg.book-online.ru/photo_book/12235490.jpg" TargetMode="External" Id="rId453" /><Relationship Type="http://schemas.openxmlformats.org/officeDocument/2006/relationships/hyperlink" Target="http://torg.book-online.ru/photo_book/12245350.jpg" TargetMode="External" Id="rId454" /><Relationship Type="http://schemas.openxmlformats.org/officeDocument/2006/relationships/hyperlink" Target="http://torg.book-online.ru/photo_book/12245340.jpg" TargetMode="External" Id="rId455" /><Relationship Type="http://schemas.openxmlformats.org/officeDocument/2006/relationships/hyperlink" Target="http://torg.book-online.ru/photo_book/10375040.jpg" TargetMode="External" Id="rId456" /><Relationship Type="http://schemas.openxmlformats.org/officeDocument/2006/relationships/hyperlink" Target="http://torg.book-online.ru/photo_book/11610380.jpg" TargetMode="External" Id="rId457" /><Relationship Type="http://schemas.openxmlformats.org/officeDocument/2006/relationships/hyperlink" Target="http://torg.book-online.ru/photo_book/11502990.jpg" TargetMode="External" Id="rId458" /><Relationship Type="http://schemas.openxmlformats.org/officeDocument/2006/relationships/hyperlink" Target="http://torg.book-online.ru/photo_book/11265110.jpg" TargetMode="External" Id="rId459" /><Relationship Type="http://schemas.openxmlformats.org/officeDocument/2006/relationships/hyperlink" Target="http://torg.book-online.ru/photo_book/10292800.jpg" TargetMode="External" Id="rId460" /><Relationship Type="http://schemas.openxmlformats.org/officeDocument/2006/relationships/hyperlink" Target="http://torg.book-online.ru/photo_book/11936020.jpg" TargetMode="External" Id="rId461" /><Relationship Type="http://schemas.openxmlformats.org/officeDocument/2006/relationships/hyperlink" Target="http://torg.book-online.ru/photo_book/10583360.jpg" TargetMode="External" Id="rId462" /><Relationship Type="http://schemas.openxmlformats.org/officeDocument/2006/relationships/hyperlink" Target="http://torg.book-online.ru/photo_book/12148710.jpg" TargetMode="External" Id="rId463" /><Relationship Type="http://schemas.openxmlformats.org/officeDocument/2006/relationships/hyperlink" Target="http://torg.book-online.ru/photo_book/9671380.jpg" TargetMode="External" Id="rId464" /><Relationship Type="http://schemas.openxmlformats.org/officeDocument/2006/relationships/hyperlink" Target="http://torg.book-online.ru/photo_book/9699770.jpg" TargetMode="External" Id="rId465" /><Relationship Type="http://schemas.openxmlformats.org/officeDocument/2006/relationships/hyperlink" Target="http://torg.book-online.ru/photo_book/8616580.jpg" TargetMode="External" Id="rId466" /><Relationship Type="http://schemas.openxmlformats.org/officeDocument/2006/relationships/hyperlink" Target="http://torg.book-online.ru/photo_book/8616570.jpg" TargetMode="External" Id="rId467" /><Relationship Type="http://schemas.openxmlformats.org/officeDocument/2006/relationships/hyperlink" Target="http://torg.book-online.ru/photo_book/8472000.jpg" TargetMode="External" Id="rId468" /><Relationship Type="http://schemas.openxmlformats.org/officeDocument/2006/relationships/hyperlink" Target="http://torg.book-online.ru/photo_book/6809990.jpg" TargetMode="External" Id="rId469" /><Relationship Type="http://schemas.openxmlformats.org/officeDocument/2006/relationships/hyperlink" Target="http://torg.book-online.ru/photo_book/8190600.jpg" TargetMode="External" Id="rId470" /><Relationship Type="http://schemas.openxmlformats.org/officeDocument/2006/relationships/hyperlink" Target="http://torg.book-online.ru/photo_book/8604890.jpg" TargetMode="External" Id="rId471" /><Relationship Type="http://schemas.openxmlformats.org/officeDocument/2006/relationships/hyperlink" Target="http://torg.book-online.ru/photo_book/8824550.jpg" TargetMode="External" Id="rId472" /><Relationship Type="http://schemas.openxmlformats.org/officeDocument/2006/relationships/hyperlink" Target="http://torg.book-online.ru/photo_book/8474950.jpg" TargetMode="External" Id="rId473" /><Relationship Type="http://schemas.openxmlformats.org/officeDocument/2006/relationships/hyperlink" Target="http://torg.book-online.ru/photo_book/8455630.jpg" TargetMode="External" Id="rId474" /><Relationship Type="http://schemas.openxmlformats.org/officeDocument/2006/relationships/hyperlink" Target="http://torg.book-online.ru/photo_book/8679710.jpg" TargetMode="External" Id="rId475" /><Relationship Type="http://schemas.openxmlformats.org/officeDocument/2006/relationships/hyperlink" Target="http://torg.book-online.ru/photo_book/9150950.jpg" TargetMode="External" Id="rId476" /><Relationship Type="http://schemas.openxmlformats.org/officeDocument/2006/relationships/hyperlink" Target="http://torg.book-online.ru/photo_book/8558580.jpg" TargetMode="External" Id="rId477" /><Relationship Type="http://schemas.openxmlformats.org/officeDocument/2006/relationships/hyperlink" Target="http://torg.book-online.ru/photo_book/8576630.jpg" TargetMode="External" Id="rId478" /><Relationship Type="http://schemas.openxmlformats.org/officeDocument/2006/relationships/hyperlink" Target="http://torg.book-online.ru/photo_book/9690150.jpg" TargetMode="External" Id="rId479" /><Relationship Type="http://schemas.openxmlformats.org/officeDocument/2006/relationships/hyperlink" Target="http://torg.book-online.ru/photo_book/9686590.jpg" TargetMode="External" Id="rId480" /><Relationship Type="http://schemas.openxmlformats.org/officeDocument/2006/relationships/hyperlink" Target="http://torg.book-online.ru/photo_book/9686560.jpg" TargetMode="External" Id="rId481" /><Relationship Type="http://schemas.openxmlformats.org/officeDocument/2006/relationships/hyperlink" Target="http://torg.book-online.ru/photo_book/9690830.jpg" TargetMode="External" Id="rId482" /><Relationship Type="http://schemas.openxmlformats.org/officeDocument/2006/relationships/hyperlink" Target="http://torg.book-online.ru/photo_book/9702190.jpg" TargetMode="External" Id="rId483" /><Relationship Type="http://schemas.openxmlformats.org/officeDocument/2006/relationships/hyperlink" Target="http://torg.book-online.ru/photo_book/9680470.jpg" TargetMode="External" Id="rId484" /><Relationship Type="http://schemas.openxmlformats.org/officeDocument/2006/relationships/hyperlink" Target="http://torg.book-online.ru/photo_book/9688070.jpg" TargetMode="External" Id="rId485" /><Relationship Type="http://schemas.openxmlformats.org/officeDocument/2006/relationships/hyperlink" Target="http://torg.book-online.ru/photo_book/9686600.jpg" TargetMode="External" Id="rId486" /><Relationship Type="http://schemas.openxmlformats.org/officeDocument/2006/relationships/hyperlink" Target="http://torg.book-online.ru/photo_book/9680450.jpg" TargetMode="External" Id="rId487" /><Relationship Type="http://schemas.openxmlformats.org/officeDocument/2006/relationships/hyperlink" Target="http://torg.book-online.ru/photo_book/8394550.jpg" TargetMode="External" Id="rId488" /><Relationship Type="http://schemas.openxmlformats.org/officeDocument/2006/relationships/hyperlink" Target="http://torg.book-online.ru/photo_book/8651730.jpg" TargetMode="External" Id="rId489" /><Relationship Type="http://schemas.openxmlformats.org/officeDocument/2006/relationships/hyperlink" Target="http://torg.book-online.ru/photo_book/8651740.jpg" TargetMode="External" Id="rId490" /><Relationship Type="http://schemas.openxmlformats.org/officeDocument/2006/relationships/hyperlink" Target="http://torg.book-online.ru/photo_book/12268620.jpg" TargetMode="External" Id="rId491" /><Relationship Type="http://schemas.openxmlformats.org/officeDocument/2006/relationships/hyperlink" Target="http://torg.book-online.ru/photo_book/9792210.jpg" TargetMode="External" Id="rId492" /><Relationship Type="http://schemas.openxmlformats.org/officeDocument/2006/relationships/hyperlink" Target="http://torg.book-online.ru/photo_book/12030820.jpg" TargetMode="External" Id="rId493" /><Relationship Type="http://schemas.openxmlformats.org/officeDocument/2006/relationships/hyperlink" Target="http://torg.book-online.ru/photo_book/9750120.jpg" TargetMode="External" Id="rId494" /><Relationship Type="http://schemas.openxmlformats.org/officeDocument/2006/relationships/hyperlink" Target="http://torg.book-online.ru/photo_book/9968080.jpg" TargetMode="External" Id="rId495" /><Relationship Type="http://schemas.openxmlformats.org/officeDocument/2006/relationships/hyperlink" Target="http://torg.book-online.ru/photo_book/9968230.jpg" TargetMode="External" Id="rId496" /><Relationship Type="http://schemas.openxmlformats.org/officeDocument/2006/relationships/hyperlink" Target="http://torg.book-online.ru/photo_book/9968220.jpg" TargetMode="External" Id="rId497" /><Relationship Type="http://schemas.openxmlformats.org/officeDocument/2006/relationships/hyperlink" Target="http://torg.book-online.ru/photo_book/6715860.jpg" TargetMode="External" Id="rId498" /><Relationship Type="http://schemas.openxmlformats.org/officeDocument/2006/relationships/hyperlink" Target="http://torg.book-online.ru/photo_book/7238840.jpg" TargetMode="External" Id="rId499" /><Relationship Type="http://schemas.openxmlformats.org/officeDocument/2006/relationships/hyperlink" Target="http://torg.book-online.ru/photo_book/5859520.jpg" TargetMode="External" Id="rId500" /><Relationship Type="http://schemas.openxmlformats.org/officeDocument/2006/relationships/hyperlink" Target="http://torg.book-online.ru/photo_book/9549460.jpg" TargetMode="External" Id="rId501" /><Relationship Type="http://schemas.openxmlformats.org/officeDocument/2006/relationships/hyperlink" Target="http://torg.book-online.ru/photo_book/9733880.jpg" TargetMode="External" Id="rId502" /><Relationship Type="http://schemas.openxmlformats.org/officeDocument/2006/relationships/hyperlink" Target="http://torg.book-online.ru/photo_book/10292810.jpg" TargetMode="External" Id="rId503" /><Relationship Type="http://schemas.openxmlformats.org/officeDocument/2006/relationships/hyperlink" Target="http://torg.book-online.ru/photo_book/10232640.jpg" TargetMode="External" Id="rId504" /><Relationship Type="http://schemas.openxmlformats.org/officeDocument/2006/relationships/hyperlink" Target="http://torg.book-online.ru/photo_book/9672630.jpg" TargetMode="External" Id="rId505" /><Relationship Type="http://schemas.openxmlformats.org/officeDocument/2006/relationships/hyperlink" Target="http://torg.book-online.ru/photo_book/10166370.jpg" TargetMode="External" Id="rId506" /><Relationship Type="http://schemas.openxmlformats.org/officeDocument/2006/relationships/hyperlink" Target="http://torg.book-online.ru/photo_book/11953460.jpg" TargetMode="External" Id="rId507" /><Relationship Type="http://schemas.openxmlformats.org/officeDocument/2006/relationships/hyperlink" Target="http://torg.book-online.ru/photo_book/11030290.jpg" TargetMode="External" Id="rId508" /><Relationship Type="http://schemas.openxmlformats.org/officeDocument/2006/relationships/hyperlink" Target="http://torg.book-online.ru/photo_book/10809730.jpg" TargetMode="External" Id="rId509" /><Relationship Type="http://schemas.openxmlformats.org/officeDocument/2006/relationships/hyperlink" Target="http://torg.book-online.ru/photo_book/10560370.jpg" TargetMode="External" Id="rId510" /><Relationship Type="http://schemas.openxmlformats.org/officeDocument/2006/relationships/hyperlink" Target="http://torg.book-online.ru/photo_book/10649370.jpg" TargetMode="External" Id="rId511" /><Relationship Type="http://schemas.openxmlformats.org/officeDocument/2006/relationships/hyperlink" Target="http://torg.book-online.ru/photo_book/10566060.jpg" TargetMode="External" Id="rId512" /><Relationship Type="http://schemas.openxmlformats.org/officeDocument/2006/relationships/hyperlink" Target="http://torg.book-online.ru/photo_book/10567470.jpg" TargetMode="External" Id="rId513" /><Relationship Type="http://schemas.openxmlformats.org/officeDocument/2006/relationships/hyperlink" Target="http://torg.book-online.ru/photo_book/10631020.jpg" TargetMode="External" Id="rId514" /><Relationship Type="http://schemas.openxmlformats.org/officeDocument/2006/relationships/hyperlink" Target="http://torg.book-online.ru/photo_book/9585890.jpg" TargetMode="External" Id="rId515" /><Relationship Type="http://schemas.openxmlformats.org/officeDocument/2006/relationships/hyperlink" Target="http://torg.book-online.ru/photo_book/10021680.jpg" TargetMode="External" Id="rId516" /><Relationship Type="http://schemas.openxmlformats.org/officeDocument/2006/relationships/hyperlink" Target="http://torg.book-online.ru/photo_book/8872850.jpg" TargetMode="External" Id="rId517" /><Relationship Type="http://schemas.openxmlformats.org/officeDocument/2006/relationships/hyperlink" Target="http://torg.book-online.ru/photo_book/8756570.jpg" TargetMode="External" Id="rId518" /><Relationship Type="http://schemas.openxmlformats.org/officeDocument/2006/relationships/hyperlink" Target="http://torg.book-online.ru/photo_book/8805600.jpg" TargetMode="External" Id="rId519" /><Relationship Type="http://schemas.openxmlformats.org/officeDocument/2006/relationships/hyperlink" Target="http://torg.book-online.ru/photo_book/8221760.jpg" TargetMode="External" Id="rId520" /><Relationship Type="http://schemas.openxmlformats.org/officeDocument/2006/relationships/hyperlink" Target="http://torg.book-online.ru/photo_book/9111480.jpg" TargetMode="External" Id="rId521" /><Relationship Type="http://schemas.openxmlformats.org/officeDocument/2006/relationships/hyperlink" Target="http://torg.book-online.ru/photo_book/8456270.jpg" TargetMode="External" Id="rId522" /><Relationship Type="http://schemas.openxmlformats.org/officeDocument/2006/relationships/hyperlink" Target="http://torg.book-online.ru/photo_book/2587820.jpg" TargetMode="External" Id="rId523" /><Relationship Type="http://schemas.openxmlformats.org/officeDocument/2006/relationships/hyperlink" Target="http://torg.book-online.ru/photo_book/10556480.jpg" TargetMode="External" Id="rId524" /><Relationship Type="http://schemas.openxmlformats.org/officeDocument/2006/relationships/hyperlink" Target="http://torg.book-online.ru/photo_book/10225460.jpg" TargetMode="External" Id="rId525" /><Relationship Type="http://schemas.openxmlformats.org/officeDocument/2006/relationships/hyperlink" Target="http://torg.book-online.ru/photo_book/10225450.jpg" TargetMode="External" Id="rId526" /><Relationship Type="http://schemas.openxmlformats.org/officeDocument/2006/relationships/hyperlink" Target="http://torg.book-online.ru/photo_book/10384460.jpg" TargetMode="External" Id="rId527" /><Relationship Type="http://schemas.openxmlformats.org/officeDocument/2006/relationships/hyperlink" Target="http://torg.book-online.ru/photo_book/10384390.jpg" TargetMode="External" Id="rId528" /><Relationship Type="http://schemas.openxmlformats.org/officeDocument/2006/relationships/hyperlink" Target="http://torg.book-online.ru/photo_book/10394800.jpg" TargetMode="External" Id="rId529" /><Relationship Type="http://schemas.openxmlformats.org/officeDocument/2006/relationships/hyperlink" Target="http://torg.book-online.ru/photo_book/10406720.jpg" TargetMode="External" Id="rId530" /><Relationship Type="http://schemas.openxmlformats.org/officeDocument/2006/relationships/hyperlink" Target="http://torg.book-online.ru/photo_book/11947210.jpg" TargetMode="External" Id="rId531" /><Relationship Type="http://schemas.openxmlformats.org/officeDocument/2006/relationships/hyperlink" Target="http://torg.book-online.ru/photo_book/12256960.jpg" TargetMode="External" Id="rId532" /><Relationship Type="http://schemas.openxmlformats.org/officeDocument/2006/relationships/hyperlink" Target="http://torg.book-online.ru/photo_book/8573970.jpg" TargetMode="External" Id="rId533" /><Relationship Type="http://schemas.openxmlformats.org/officeDocument/2006/relationships/hyperlink" Target="http://torg.book-online.ru/photo_book/8450030.jpg" TargetMode="External" Id="rId534" /><Relationship Type="http://schemas.openxmlformats.org/officeDocument/2006/relationships/hyperlink" Target="http://torg.book-online.ru/photo_book/7943120.jpg" TargetMode="External" Id="rId535" /><Relationship Type="http://schemas.openxmlformats.org/officeDocument/2006/relationships/hyperlink" Target="http://torg.book-online.ru/photo_book/8406050.jpg" TargetMode="External" Id="rId536" /><Relationship Type="http://schemas.openxmlformats.org/officeDocument/2006/relationships/hyperlink" Target="http://torg.book-online.ru/photo_book/9501490.jpg" TargetMode="External" Id="rId537" /><Relationship Type="http://schemas.openxmlformats.org/officeDocument/2006/relationships/hyperlink" Target="http://torg.book-online.ru/photo_book/9675700.jpg" TargetMode="External" Id="rId538" /><Relationship Type="http://schemas.openxmlformats.org/officeDocument/2006/relationships/hyperlink" Target="http://torg.book-online.ru/photo_book/9801690.jpg" TargetMode="External" Id="rId539" /><Relationship Type="http://schemas.openxmlformats.org/officeDocument/2006/relationships/hyperlink" Target="http://torg.book-online.ru/photo_book/11199020.jpg" TargetMode="External" Id="rId540" /><Relationship Type="http://schemas.openxmlformats.org/officeDocument/2006/relationships/hyperlink" Target="http://torg.book-online.ru/photo_book/11199000.jpg" TargetMode="External" Id="rId541" /><Relationship Type="http://schemas.openxmlformats.org/officeDocument/2006/relationships/hyperlink" Target="http://torg.book-online.ru/photo_book/11198990.jpg" TargetMode="External" Id="rId542" /><Relationship Type="http://schemas.openxmlformats.org/officeDocument/2006/relationships/hyperlink" Target="http://torg.book-online.ru/photo_book/8952750.jpg" TargetMode="External" Id="rId543" /><Relationship Type="http://schemas.openxmlformats.org/officeDocument/2006/relationships/hyperlink" Target="http://torg.book-online.ru/photo_book/8970160.jpg" TargetMode="External" Id="rId544" /><Relationship Type="http://schemas.openxmlformats.org/officeDocument/2006/relationships/hyperlink" Target="http://torg.book-online.ru/photo_book/9153000.jpg" TargetMode="External" Id="rId545" /><Relationship Type="http://schemas.openxmlformats.org/officeDocument/2006/relationships/hyperlink" Target="http://torg.book-online.ru/photo_book/9086270.jpg" TargetMode="External" Id="rId546" /><Relationship Type="http://schemas.openxmlformats.org/officeDocument/2006/relationships/hyperlink" Target="http://torg.book-online.ru/photo_book/9613260.jpg" TargetMode="External" Id="rId547" /><Relationship Type="http://schemas.openxmlformats.org/officeDocument/2006/relationships/hyperlink" Target="http://torg.book-online.ru/photo_book/9575050.jpg" TargetMode="External" Id="rId548" /><Relationship Type="http://schemas.openxmlformats.org/officeDocument/2006/relationships/hyperlink" Target="http://torg.book-online.ru/photo_book/9610720.jpg" TargetMode="External" Id="rId549" /><Relationship Type="http://schemas.openxmlformats.org/officeDocument/2006/relationships/hyperlink" Target="http://torg.book-online.ru/photo_book/9688020.jpg" TargetMode="External" Id="rId550" /><Relationship Type="http://schemas.openxmlformats.org/officeDocument/2006/relationships/hyperlink" Target="http://torg.book-online.ru/photo_book/9666890.jpg" TargetMode="External" Id="rId551" /><Relationship Type="http://schemas.openxmlformats.org/officeDocument/2006/relationships/hyperlink" Target="http://torg.book-online.ru/photo_book/9678880.jpg" TargetMode="External" Id="rId552" /><Relationship Type="http://schemas.openxmlformats.org/officeDocument/2006/relationships/hyperlink" Target="http://torg.book-online.ru/photo_book/9695560.jpg" TargetMode="External" Id="rId553" /><Relationship Type="http://schemas.openxmlformats.org/officeDocument/2006/relationships/hyperlink" Target="http://torg.book-online.ru/photo_book/9676980.jpg" TargetMode="External" Id="rId554" /><Relationship Type="http://schemas.openxmlformats.org/officeDocument/2006/relationships/hyperlink" Target="http://torg.book-online.ru/photo_book/9401410.jpg" TargetMode="External" Id="rId555" /><Relationship Type="http://schemas.openxmlformats.org/officeDocument/2006/relationships/hyperlink" Target="http://torg.book-online.ru/photo_book/9494740.jpg" TargetMode="External" Id="rId556" /><Relationship Type="http://schemas.openxmlformats.org/officeDocument/2006/relationships/hyperlink" Target="http://torg.book-online.ru/photo_book/9494750.jpg" TargetMode="External" Id="rId557" /><Relationship Type="http://schemas.openxmlformats.org/officeDocument/2006/relationships/hyperlink" Target="http://torg.book-online.ru/photo_book/9642140.jpg" TargetMode="External" Id="rId558" /><Relationship Type="http://schemas.openxmlformats.org/officeDocument/2006/relationships/hyperlink" Target="http://torg.book-online.ru/photo_book/9147770.jpg" TargetMode="External" Id="rId559" /><Relationship Type="http://schemas.openxmlformats.org/officeDocument/2006/relationships/hyperlink" Target="http://torg.book-online.ru/photo_book/11627620.jpg" TargetMode="External" Id="rId560" /><Relationship Type="http://schemas.openxmlformats.org/officeDocument/2006/relationships/hyperlink" Target="http://torg.book-online.ru/photo_book/11536080.jpg" TargetMode="External" Id="rId561" /><Relationship Type="http://schemas.openxmlformats.org/officeDocument/2006/relationships/hyperlink" Target="http://torg.book-online.ru/photo_book/9803310.jpg" TargetMode="External" Id="rId562" /><Relationship Type="http://schemas.openxmlformats.org/officeDocument/2006/relationships/hyperlink" Target="http://torg.book-online.ru/photo_book/9812100.jpg" TargetMode="External" Id="rId563" /><Relationship Type="http://schemas.openxmlformats.org/officeDocument/2006/relationships/hyperlink" Target="http://torg.book-online.ru/photo_book/8727680.jpg" TargetMode="External" Id="rId564" /><Relationship Type="http://schemas.openxmlformats.org/officeDocument/2006/relationships/hyperlink" Target="http://torg.book-online.ru/photo_book/11168220.jpg" TargetMode="External" Id="rId565" /><Relationship Type="http://schemas.openxmlformats.org/officeDocument/2006/relationships/hyperlink" Target="http://torg.book-online.ru/photo_book/10025130.jpg" TargetMode="External" Id="rId566" /><Relationship Type="http://schemas.openxmlformats.org/officeDocument/2006/relationships/hyperlink" Target="http://torg.book-online.ru/photo_book/11490190.jpg" TargetMode="External" Id="rId567" /><Relationship Type="http://schemas.openxmlformats.org/officeDocument/2006/relationships/hyperlink" Target="http://torg.book-online.ru/photo_book/11490200.jpg" TargetMode="External" Id="rId568" /><Relationship Type="http://schemas.openxmlformats.org/officeDocument/2006/relationships/hyperlink" Target="http://torg.book-online.ru/photo_book/10555960.jpg" TargetMode="External" Id="rId569" /><Relationship Type="http://schemas.openxmlformats.org/officeDocument/2006/relationships/hyperlink" Target="http://torg.book-online.ru/photo_book/10933700.jpg" TargetMode="External" Id="rId570" /><Relationship Type="http://schemas.openxmlformats.org/officeDocument/2006/relationships/hyperlink" Target="http://torg.book-online.ru/photo_book/10240320.jpg" TargetMode="External" Id="rId571" /><Relationship Type="http://schemas.openxmlformats.org/officeDocument/2006/relationships/hyperlink" Target="http://torg.book-online.ru/photo_book/11092800.jpg" TargetMode="External" Id="rId572" /><Relationship Type="http://schemas.openxmlformats.org/officeDocument/2006/relationships/hyperlink" Target="http://torg.book-online.ru/photo_book/10512000.jpg" TargetMode="External" Id="rId573" /><Relationship Type="http://schemas.openxmlformats.org/officeDocument/2006/relationships/hyperlink" Target="http://torg.book-online.ru/photo_book/10236480.jpg" TargetMode="External" Id="rId574" /><Relationship Type="http://schemas.openxmlformats.org/officeDocument/2006/relationships/hyperlink" Target="http://torg.book-online.ru/photo_book/10041650.jpg" TargetMode="External" Id="rId575" /><Relationship Type="http://schemas.openxmlformats.org/officeDocument/2006/relationships/hyperlink" Target="http://torg.book-online.ru/photo_book/12268480.jpg" TargetMode="External" Id="rId576" /><Relationship Type="http://schemas.openxmlformats.org/officeDocument/2006/relationships/hyperlink" Target="http://torg.book-online.ru/photo_book/6894270.jpg" TargetMode="External" Id="rId577" /><Relationship Type="http://schemas.openxmlformats.org/officeDocument/2006/relationships/hyperlink" Target="http://torg.book-online.ru/photo_book/7923680.jpg" TargetMode="External" Id="rId578" /><Relationship Type="http://schemas.openxmlformats.org/officeDocument/2006/relationships/hyperlink" Target="http://torg.book-online.ru/photo_book/9157270.jpg" TargetMode="External" Id="rId579" /><Relationship Type="http://schemas.openxmlformats.org/officeDocument/2006/relationships/hyperlink" Target="http://torg.book-online.ru/photo_book/8925100.jpg" TargetMode="External" Id="rId580" /><Relationship Type="http://schemas.openxmlformats.org/officeDocument/2006/relationships/hyperlink" Target="http://torg.book-online.ru/photo_book/8927920.jpg" TargetMode="External" Id="rId581" /><Relationship Type="http://schemas.openxmlformats.org/officeDocument/2006/relationships/hyperlink" Target="http://torg.book-online.ru/photo_book/8742100.jpg" TargetMode="External" Id="rId582" /><Relationship Type="http://schemas.openxmlformats.org/officeDocument/2006/relationships/hyperlink" Target="http://torg.book-online.ru/photo_book/8569550.jpg" TargetMode="External" Id="rId583" /><Relationship Type="http://schemas.openxmlformats.org/officeDocument/2006/relationships/hyperlink" Target="http://torg.book-online.ru/photo_book/9610740.jpg" TargetMode="External" Id="rId584" /><Relationship Type="http://schemas.openxmlformats.org/officeDocument/2006/relationships/hyperlink" Target="http://torg.book-online.ru/photo_book/8820070.jpg" TargetMode="External" Id="rId585" /><Relationship Type="http://schemas.openxmlformats.org/officeDocument/2006/relationships/hyperlink" Target="http://torg.book-online.ru/photo_book/8669310.jpg" TargetMode="External" Id="rId586" /><Relationship Type="http://schemas.openxmlformats.org/officeDocument/2006/relationships/hyperlink" Target="http://torg.book-online.ru/photo_book/8700320.jpg" TargetMode="External" Id="rId587" /><Relationship Type="http://schemas.openxmlformats.org/officeDocument/2006/relationships/hyperlink" Target="http://torg.book-online.ru/photo_book/8872230.jpg" TargetMode="External" Id="rId588" /><Relationship Type="http://schemas.openxmlformats.org/officeDocument/2006/relationships/hyperlink" Target="http://torg.book-online.ru/photo_book/8435180.jpg" TargetMode="External" Id="rId589" /><Relationship Type="http://schemas.openxmlformats.org/officeDocument/2006/relationships/hyperlink" Target="http://torg.book-online.ru/photo_book/8435200.jpg" TargetMode="External" Id="rId590" /><Relationship Type="http://schemas.openxmlformats.org/officeDocument/2006/relationships/hyperlink" Target="http://torg.book-online.ru/photo_book/8435040.jpg" TargetMode="External" Id="rId591" /><Relationship Type="http://schemas.openxmlformats.org/officeDocument/2006/relationships/hyperlink" Target="http://torg.book-online.ru/photo_book/10735240.jpg" TargetMode="External" Id="rId592" /><Relationship Type="http://schemas.openxmlformats.org/officeDocument/2006/relationships/hyperlink" Target="http://torg.book-online.ru/photo_book/9184340.jpg" TargetMode="External" Id="rId593" /><Relationship Type="http://schemas.openxmlformats.org/officeDocument/2006/relationships/hyperlink" Target="http://torg.book-online.ru/photo_book/8738950.jpg" TargetMode="External" Id="rId594" /><Relationship Type="http://schemas.openxmlformats.org/officeDocument/2006/relationships/hyperlink" Target="http://torg.book-online.ru/photo_book/10043470.jpg" TargetMode="External" Id="rId595" /><Relationship Type="http://schemas.openxmlformats.org/officeDocument/2006/relationships/hyperlink" Target="http://torg.book-online.ru/photo_book/12148720.jpg" TargetMode="External" Id="rId596" /><Relationship Type="http://schemas.openxmlformats.org/officeDocument/2006/relationships/hyperlink" Target="http://torg.book-online.ru/photo_book/12197950.jpg" TargetMode="External" Id="rId597" /><Relationship Type="http://schemas.openxmlformats.org/officeDocument/2006/relationships/hyperlink" Target="http://torg.book-online.ru/photo_book/12071120.jpg" TargetMode="External" Id="rId598" /><Relationship Type="http://schemas.openxmlformats.org/officeDocument/2006/relationships/hyperlink" Target="http://torg.book-online.ru/photo_book/12076150.jpg" TargetMode="External" Id="rId599" /><Relationship Type="http://schemas.openxmlformats.org/officeDocument/2006/relationships/hyperlink" Target="http://torg.book-online.ru/photo_book/12068360.jpg" TargetMode="External" Id="rId600" /><Relationship Type="http://schemas.openxmlformats.org/officeDocument/2006/relationships/hyperlink" Target="http://torg.book-online.ru/photo_book/12256980.jpg" TargetMode="External" Id="rId601" /><Relationship Type="http://schemas.openxmlformats.org/officeDocument/2006/relationships/hyperlink" Target="http://torg.book-online.ru/photo_book/8926020.jpg" TargetMode="External" Id="rId602" /><Relationship Type="http://schemas.openxmlformats.org/officeDocument/2006/relationships/hyperlink" Target="http://torg.book-online.ru/photo_book/8859270.jpg" TargetMode="External" Id="rId603" /><Relationship Type="http://schemas.openxmlformats.org/officeDocument/2006/relationships/hyperlink" Target="http://torg.book-online.ru/photo_book/7452810.jpg" TargetMode="External" Id="rId604" /><Relationship Type="http://schemas.openxmlformats.org/officeDocument/2006/relationships/hyperlink" Target="http://torg.book-online.ru/photo_book/8920840.jpg" TargetMode="External" Id="rId605" /><Relationship Type="http://schemas.openxmlformats.org/officeDocument/2006/relationships/hyperlink" Target="http://torg.book-online.ru/photo_book/9730430.jpg" TargetMode="External" Id="rId606" /><Relationship Type="http://schemas.openxmlformats.org/officeDocument/2006/relationships/hyperlink" Target="http://torg.book-online.ru/photo_book/10770000.jpg" TargetMode="External" Id="rId607" /><Relationship Type="http://schemas.openxmlformats.org/officeDocument/2006/relationships/hyperlink" Target="http://torg.book-online.ru/photo_book/8228590.jpg" TargetMode="External" Id="rId608" /><Relationship Type="http://schemas.openxmlformats.org/officeDocument/2006/relationships/hyperlink" Target="http://torg.book-online.ru/photo_book/8366870.jpg" TargetMode="External" Id="rId609" /><Relationship Type="http://schemas.openxmlformats.org/officeDocument/2006/relationships/hyperlink" Target="http://torg.book-online.ru/photo_book/8462870.jpg" TargetMode="External" Id="rId610" /><Relationship Type="http://schemas.openxmlformats.org/officeDocument/2006/relationships/hyperlink" Target="http://torg.book-online.ru/photo_book/8446720.jpg" TargetMode="External" Id="rId611" /><Relationship Type="http://schemas.openxmlformats.org/officeDocument/2006/relationships/hyperlink" Target="http://torg.book-online.ru/photo_book/9247450.jpg" TargetMode="External" Id="rId612" /><Relationship Type="http://schemas.openxmlformats.org/officeDocument/2006/relationships/hyperlink" Target="http://torg.book-online.ru/photo_book/9676580.jpg" TargetMode="External" Id="rId613" /><Relationship Type="http://schemas.openxmlformats.org/officeDocument/2006/relationships/hyperlink" Target="http://torg.book-online.ru/photo_book/11147440.jpg" TargetMode="External" Id="rId614" /><Relationship Type="http://schemas.openxmlformats.org/officeDocument/2006/relationships/hyperlink" Target="http://torg.book-online.ru/photo_book/9618300.jpg" TargetMode="External" Id="rId615" /><Relationship Type="http://schemas.openxmlformats.org/officeDocument/2006/relationships/hyperlink" Target="http://torg.book-online.ru/photo_book/11664240.jpg" TargetMode="External" Id="rId616" /><Relationship Type="http://schemas.openxmlformats.org/officeDocument/2006/relationships/hyperlink" Target="http://torg.book-online.ru/photo_book/11934630.jpg" TargetMode="External" Id="rId617" /><Relationship Type="http://schemas.openxmlformats.org/officeDocument/2006/relationships/hyperlink" Target="http://torg.book-online.ru/photo_book/12228600.jpg" TargetMode="External" Id="rId618" /><Relationship Type="http://schemas.openxmlformats.org/officeDocument/2006/relationships/hyperlink" Target="http://torg.book-online.ru/photo_book/11502880.jpg" TargetMode="External" Id="rId619" /><Relationship Type="http://schemas.openxmlformats.org/officeDocument/2006/relationships/hyperlink" Target="http://torg.book-online.ru/photo_book/11141950.jpg" TargetMode="External" Id="rId620" /><Relationship Type="http://schemas.openxmlformats.org/officeDocument/2006/relationships/hyperlink" Target="http://torg.book-online.ru/photo_book/11527500.jpg" TargetMode="External" Id="rId621" /><Relationship Type="http://schemas.openxmlformats.org/officeDocument/2006/relationships/hyperlink" Target="http://torg.book-online.ru/photo_book/11427530.jpg" TargetMode="External" Id="rId622" /><Relationship Type="http://schemas.openxmlformats.org/officeDocument/2006/relationships/hyperlink" Target="http://torg.book-online.ru/photo_book/6674650.jpg" TargetMode="External" Id="rId623" /><Relationship Type="http://schemas.openxmlformats.org/officeDocument/2006/relationships/hyperlink" Target="http://torg.book-online.ru/photo_book/11067760.jpg" TargetMode="External" Id="rId624" /><Relationship Type="http://schemas.openxmlformats.org/officeDocument/2006/relationships/hyperlink" Target="http://torg.book-online.ru/photo_book/12205590.jpg" TargetMode="External" Id="rId625" /><Relationship Type="http://schemas.openxmlformats.org/officeDocument/2006/relationships/hyperlink" Target="http://torg.book-online.ru/photo_book/10165740.jpg" TargetMode="External" Id="rId626" /><Relationship Type="http://schemas.openxmlformats.org/officeDocument/2006/relationships/hyperlink" Target="http://torg.book-online.ru/photo_book/9139810.jpg" TargetMode="External" Id="rId627" /><Relationship Type="http://schemas.openxmlformats.org/officeDocument/2006/relationships/hyperlink" Target="http://torg.book-online.ru/photo_book/11148920.jpg" TargetMode="External" Id="rId628" /><Relationship Type="http://schemas.openxmlformats.org/officeDocument/2006/relationships/hyperlink" Target="http://torg.book-online.ru/photo_book/11081870.jpg" TargetMode="External" Id="rId629" /><Relationship Type="http://schemas.openxmlformats.org/officeDocument/2006/relationships/hyperlink" Target="http://torg.book-online.ru/photo_book/11080320.jpg" TargetMode="External" Id="rId630" /><Relationship Type="http://schemas.openxmlformats.org/officeDocument/2006/relationships/hyperlink" Target="http://torg.book-online.ru/photo_book/11327050.jpg" TargetMode="External" Id="rId631" /><Relationship Type="http://schemas.openxmlformats.org/officeDocument/2006/relationships/hyperlink" Target="http://torg.book-online.ru/photo_book/11290250.jpg" TargetMode="External" Id="rId632" /><Relationship Type="http://schemas.openxmlformats.org/officeDocument/2006/relationships/hyperlink" Target="http://torg.book-online.ru/photo_book/9801240.jpg" TargetMode="External" Id="rId633" /><Relationship Type="http://schemas.openxmlformats.org/officeDocument/2006/relationships/hyperlink" Target="http://torg.book-online.ru/photo_book/11066360.jpg" TargetMode="External" Id="rId634" /><Relationship Type="http://schemas.openxmlformats.org/officeDocument/2006/relationships/hyperlink" Target="http://torg.book-online.ru/photo_book/8195320.jpg" TargetMode="External" Id="rId635" /><Relationship Type="http://schemas.openxmlformats.org/officeDocument/2006/relationships/hyperlink" Target="http://torg.book-online.ru/photo_book/8235900.jpg" TargetMode="External" Id="rId636" /><Relationship Type="http://schemas.openxmlformats.org/officeDocument/2006/relationships/hyperlink" Target="http://torg.book-online.ru/photo_book/11066370.jpg" TargetMode="External" Id="rId637" /><Relationship Type="http://schemas.openxmlformats.org/officeDocument/2006/relationships/hyperlink" Target="http://torg.book-online.ru/photo_book/11641980.jpg" TargetMode="External" Id="rId638" /><Relationship Type="http://schemas.openxmlformats.org/officeDocument/2006/relationships/hyperlink" Target="http://torg.book-online.ru/photo_book/11650520.jpg" TargetMode="External" Id="rId639" /><Relationship Type="http://schemas.openxmlformats.org/officeDocument/2006/relationships/hyperlink" Target="http://torg.book-online.ru/photo_book/11066380.jpg" TargetMode="External" Id="rId640" /><Relationship Type="http://schemas.openxmlformats.org/officeDocument/2006/relationships/hyperlink" Target="http://torg.book-online.ru/photo_book/8825380.jpg" TargetMode="External" Id="rId641" /><Relationship Type="http://schemas.openxmlformats.org/officeDocument/2006/relationships/hyperlink" Target="http://torg.book-online.ru/photo_book/8825370.jpg" TargetMode="External" Id="rId642" /><Relationship Type="http://schemas.openxmlformats.org/officeDocument/2006/relationships/hyperlink" Target="http://torg.book-online.ru/photo_book/8871480.jpg" TargetMode="External" Id="rId643" /><Relationship Type="http://schemas.openxmlformats.org/officeDocument/2006/relationships/hyperlink" Target="http://torg.book-online.ru/photo_book/8858380.jpg" TargetMode="External" Id="rId644" /><Relationship Type="http://schemas.openxmlformats.org/officeDocument/2006/relationships/hyperlink" Target="http://torg.book-online.ru/photo_book/6727220.jpg" TargetMode="External" Id="rId645" /><Relationship Type="http://schemas.openxmlformats.org/officeDocument/2006/relationships/hyperlink" Target="http://torg.book-online.ru/photo_book/10239750.jpg" TargetMode="External" Id="rId646" /><Relationship Type="http://schemas.openxmlformats.org/officeDocument/2006/relationships/hyperlink" Target="http://torg.book-online.ru/photo_book/8899130.jpg" TargetMode="External" Id="rId647" /><Relationship Type="http://schemas.openxmlformats.org/officeDocument/2006/relationships/hyperlink" Target="http://torg.book-online.ru/photo_book/9688000.jpg" TargetMode="External" Id="rId648" /><Relationship Type="http://schemas.openxmlformats.org/officeDocument/2006/relationships/hyperlink" Target="http://torg.book-online.ru/photo_book/9514810.jpg" TargetMode="External" Id="rId649" /><Relationship Type="http://schemas.openxmlformats.org/officeDocument/2006/relationships/hyperlink" Target="http://torg.book-online.ru/photo_book/8558720.jpg" TargetMode="External" Id="rId650" /><Relationship Type="http://schemas.openxmlformats.org/officeDocument/2006/relationships/hyperlink" Target="http://torg.book-online.ru/photo_book/9801180.jpg" TargetMode="External" Id="rId651" /><Relationship Type="http://schemas.openxmlformats.org/officeDocument/2006/relationships/hyperlink" Target="http://torg.book-online.ru/photo_book/8943040.jpg" TargetMode="External" Id="rId652" /><Relationship Type="http://schemas.openxmlformats.org/officeDocument/2006/relationships/hyperlink" Target="http://torg.book-online.ru/photo_book/9258140.jpg" TargetMode="External" Id="rId653" /><Relationship Type="http://schemas.openxmlformats.org/officeDocument/2006/relationships/hyperlink" Target="http://torg.book-online.ru/photo_book/9258180.jpg" TargetMode="External" Id="rId654" /><Relationship Type="http://schemas.openxmlformats.org/officeDocument/2006/relationships/hyperlink" Target="http://torg.book-online.ru/photo_book/9258090.jpg" TargetMode="External" Id="rId655" /><Relationship Type="http://schemas.openxmlformats.org/officeDocument/2006/relationships/hyperlink" Target="http://torg.book-online.ru/photo_book/8016770.jpg" TargetMode="External" Id="rId656" /><Relationship Type="http://schemas.openxmlformats.org/officeDocument/2006/relationships/hyperlink" Target="http://torg.book-online.ru/photo_book/11258310.jpg" TargetMode="External" Id="rId657" /><Relationship Type="http://schemas.openxmlformats.org/officeDocument/2006/relationships/hyperlink" Target="http://torg.book-online.ru/photo_book/10409560.jpg" TargetMode="External" Id="rId658" /><Relationship Type="http://schemas.openxmlformats.org/officeDocument/2006/relationships/hyperlink" Target="http://torg.book-online.ru/photo_book/10806940.jpg" TargetMode="External" Id="rId659" /><Relationship Type="http://schemas.openxmlformats.org/officeDocument/2006/relationships/hyperlink" Target="http://torg.book-online.ru/photo_book/9536820.jpg" TargetMode="External" Id="rId660" /><Relationship Type="http://schemas.openxmlformats.org/officeDocument/2006/relationships/hyperlink" Target="http://torg.book-online.ru/photo_book/11506300.jpg" TargetMode="External" Id="rId661" /><Relationship Type="http://schemas.openxmlformats.org/officeDocument/2006/relationships/hyperlink" Target="http://torg.book-online.ru/photo_book/10541480.jpg" TargetMode="External" Id="rId662" /><Relationship Type="http://schemas.openxmlformats.org/officeDocument/2006/relationships/hyperlink" Target="http://torg.book-online.ru/photo_book/12268640.jpg" TargetMode="External" Id="rId663" /><Relationship Type="http://schemas.openxmlformats.org/officeDocument/2006/relationships/hyperlink" Target="http://torg.book-online.ru/photo_book/11506370.jpg" TargetMode="External" Id="rId664" /><Relationship Type="http://schemas.openxmlformats.org/officeDocument/2006/relationships/hyperlink" Target="http://torg.book-online.ru/photo_book/9537140.jpg" TargetMode="External" Id="rId665" /><Relationship Type="http://schemas.openxmlformats.org/officeDocument/2006/relationships/hyperlink" Target="http://torg.book-online.ru/photo_book/11937120.jpg" TargetMode="External" Id="rId666" /><Relationship Type="http://schemas.openxmlformats.org/officeDocument/2006/relationships/hyperlink" Target="http://torg.book-online.ru/photo_book/11260900.jpg" TargetMode="External" Id="rId667" /><Relationship Type="http://schemas.openxmlformats.org/officeDocument/2006/relationships/hyperlink" Target="http://torg.book-online.ru/photo_book/11267820.jpg" TargetMode="External" Id="rId668" /><Relationship Type="http://schemas.openxmlformats.org/officeDocument/2006/relationships/hyperlink" Target="http://torg.book-online.ru/photo_book/10814090.jpg" TargetMode="External" Id="rId669" /><Relationship Type="http://schemas.openxmlformats.org/officeDocument/2006/relationships/hyperlink" Target="http://torg.book-online.ru/photo_book/11503000.jpg" TargetMode="External" Id="rId670" /><Relationship Type="http://schemas.openxmlformats.org/officeDocument/2006/relationships/hyperlink" Target="http://torg.book-online.ru/photo_book/11897860.jpg" TargetMode="External" Id="rId671" /><Relationship Type="http://schemas.openxmlformats.org/officeDocument/2006/relationships/hyperlink" Target="http://torg.book-online.ru/photo_book/9626420.jpg" TargetMode="External" Id="rId672" /><Relationship Type="http://schemas.openxmlformats.org/officeDocument/2006/relationships/hyperlink" Target="http://torg.book-online.ru/photo_book/10013020.jpg" TargetMode="External" Id="rId673" /><Relationship Type="http://schemas.openxmlformats.org/officeDocument/2006/relationships/hyperlink" Target="http://torg.book-online.ru/photo_book/11038430.jpg" TargetMode="External" Id="rId674" /><Relationship Type="http://schemas.openxmlformats.org/officeDocument/2006/relationships/hyperlink" Target="http://torg.book-online.ru/photo_book/9531640.jpg" TargetMode="External" Id="rId675" /><Relationship Type="http://schemas.openxmlformats.org/officeDocument/2006/relationships/hyperlink" Target="http://torg.book-online.ru/photo_book/11865940.jpg" TargetMode="External" Id="rId676" /><Relationship Type="http://schemas.openxmlformats.org/officeDocument/2006/relationships/hyperlink" Target="http://torg.book-online.ru/photo_book/11451050.jpg" TargetMode="External" Id="rId677" /><Relationship Type="http://schemas.openxmlformats.org/officeDocument/2006/relationships/hyperlink" Target="http://torg.book-online.ru/photo_book/11451840.jpg" TargetMode="External" Id="rId678" /><Relationship Type="http://schemas.openxmlformats.org/officeDocument/2006/relationships/hyperlink" Target="http://torg.book-online.ru/photo_book/11175100.jpg" TargetMode="External" Id="rId679" /><Relationship Type="http://schemas.openxmlformats.org/officeDocument/2006/relationships/hyperlink" Target="http://torg.book-online.ru/photo_book/11175050.jpg" TargetMode="External" Id="rId680" /><Relationship Type="http://schemas.openxmlformats.org/officeDocument/2006/relationships/hyperlink" Target="http://torg.book-online.ru/photo_book/11451660.jpg" TargetMode="External" Id="rId681" /><Relationship Type="http://schemas.openxmlformats.org/officeDocument/2006/relationships/hyperlink" Target="http://torg.book-online.ru/photo_book/11451850.jpg" TargetMode="External" Id="rId682" /><Relationship Type="http://schemas.openxmlformats.org/officeDocument/2006/relationships/hyperlink" Target="http://torg.book-online.ru/photo_book/11524160.jpg" TargetMode="External" Id="rId683" /><Relationship Type="http://schemas.openxmlformats.org/officeDocument/2006/relationships/hyperlink" Target="http://torg.book-online.ru/photo_book/10411700.jpg" TargetMode="External" Id="rId684" /><Relationship Type="http://schemas.openxmlformats.org/officeDocument/2006/relationships/hyperlink" Target="http://torg.book-online.ru/photo_book/10411710.jpg" TargetMode="External" Id="rId685" /><Relationship Type="http://schemas.openxmlformats.org/officeDocument/2006/relationships/hyperlink" Target="http://torg.book-online.ru/photo_book/10413140.jpg" TargetMode="External" Id="rId686" /><Relationship Type="http://schemas.openxmlformats.org/officeDocument/2006/relationships/hyperlink" Target="http://torg.book-online.ru/photo_book/11498550.jpg" TargetMode="External" Id="rId687" /><Relationship Type="http://schemas.openxmlformats.org/officeDocument/2006/relationships/hyperlink" Target="http://torg.book-online.ru/photo_book/10411720.jpg" TargetMode="External" Id="rId688" /><Relationship Type="http://schemas.openxmlformats.org/officeDocument/2006/relationships/hyperlink" Target="http://torg.book-online.ru/photo_book/10411860.jpg" TargetMode="External" Id="rId689" /><Relationship Type="http://schemas.openxmlformats.org/officeDocument/2006/relationships/hyperlink" Target="http://torg.book-online.ru/photo_book/11577850.jpg" TargetMode="External" Id="rId690" /><Relationship Type="http://schemas.openxmlformats.org/officeDocument/2006/relationships/hyperlink" Target="http://torg.book-online.ru/photo_book/9687620.jpg" TargetMode="External" Id="rId691" /><Relationship Type="http://schemas.openxmlformats.org/officeDocument/2006/relationships/hyperlink" Target="http://torg.book-online.ru/photo_book/9745000.jpg" TargetMode="External" Id="rId692" /><Relationship Type="http://schemas.openxmlformats.org/officeDocument/2006/relationships/hyperlink" Target="http://torg.book-online.ru/photo_book/9744980.jpg" TargetMode="External" Id="rId693" /><Relationship Type="http://schemas.openxmlformats.org/officeDocument/2006/relationships/hyperlink" Target="http://torg.book-online.ru/photo_book/9744970.jpg" TargetMode="External" Id="rId694" /><Relationship Type="http://schemas.openxmlformats.org/officeDocument/2006/relationships/hyperlink" Target="http://torg.book-online.ru/photo_book/9796620.jpg" TargetMode="External" Id="rId695" /><Relationship Type="http://schemas.openxmlformats.org/officeDocument/2006/relationships/hyperlink" Target="http://torg.book-online.ru/photo_book/10440380.jpg" TargetMode="External" Id="rId696" /><Relationship Type="http://schemas.openxmlformats.org/officeDocument/2006/relationships/hyperlink" Target="http://torg.book-online.ru/photo_book/11498480.jpg" TargetMode="External" Id="rId697" /><Relationship Type="http://schemas.openxmlformats.org/officeDocument/2006/relationships/hyperlink" Target="http://torg.book-online.ru/photo_book/11498430.jpg" TargetMode="External" Id="rId698" /><Relationship Type="http://schemas.openxmlformats.org/officeDocument/2006/relationships/hyperlink" Target="http://torg.book-online.ru/photo_book/10832800.jpg" TargetMode="External" Id="rId699" /><Relationship Type="http://schemas.openxmlformats.org/officeDocument/2006/relationships/hyperlink" Target="http://torg.book-online.ru/photo_book/11498460.jpg" TargetMode="External" Id="rId700" /><Relationship Type="http://schemas.openxmlformats.org/officeDocument/2006/relationships/hyperlink" Target="http://torg.book-online.ru/photo_book/10413230.jpg" TargetMode="External" Id="rId701" /><Relationship Type="http://schemas.openxmlformats.org/officeDocument/2006/relationships/hyperlink" Target="http://torg.book-online.ru/photo_book/11451670.jpg" TargetMode="External" Id="rId702" /><Relationship Type="http://schemas.openxmlformats.org/officeDocument/2006/relationships/hyperlink" Target="http://torg.book-online.ru/photo_book/11498490.jpg" TargetMode="External" Id="rId703" /><Relationship Type="http://schemas.openxmlformats.org/officeDocument/2006/relationships/hyperlink" Target="http://torg.book-online.ru/photo_book/9796810.jpg" TargetMode="External" Id="rId704" /><Relationship Type="http://schemas.openxmlformats.org/officeDocument/2006/relationships/hyperlink" Target="http://torg.book-online.ru/photo_book/9465080.jpg" TargetMode="External" Id="rId705" /><Relationship Type="http://schemas.openxmlformats.org/officeDocument/2006/relationships/hyperlink" Target="http://torg.book-online.ru/photo_book/10413220.jpg" TargetMode="External" Id="rId706" /><Relationship Type="http://schemas.openxmlformats.org/officeDocument/2006/relationships/hyperlink" Target="http://torg.book-online.ru/photo_book/11498440.jpg" TargetMode="External" Id="rId707" /><Relationship Type="http://schemas.openxmlformats.org/officeDocument/2006/relationships/hyperlink" Target="http://torg.book-online.ru/photo_book/9086360.jpg" TargetMode="External" Id="rId708" /><Relationship Type="http://schemas.openxmlformats.org/officeDocument/2006/relationships/hyperlink" Target="http://torg.book-online.ru/photo_book/8742060.jpg" TargetMode="External" Id="rId709" /><Relationship Type="http://schemas.openxmlformats.org/officeDocument/2006/relationships/hyperlink" Target="http://torg.book-online.ru/photo_book/9287070.jpg" TargetMode="External" Id="rId710" /><Relationship Type="http://schemas.openxmlformats.org/officeDocument/2006/relationships/hyperlink" Target="http://torg.book-online.ru/photo_book/9471970.jpg" TargetMode="External" Id="rId711" /><Relationship Type="http://schemas.openxmlformats.org/officeDocument/2006/relationships/hyperlink" Target="http://torg.book-online.ru/photo_book/9620180.jpg" TargetMode="External" Id="rId712" /><Relationship Type="http://schemas.openxmlformats.org/officeDocument/2006/relationships/hyperlink" Target="http://torg.book-online.ru/photo_book/11067770.jpg" TargetMode="External" Id="rId713" /><Relationship Type="http://schemas.openxmlformats.org/officeDocument/2006/relationships/hyperlink" Target="http://torg.book-online.ru/photo_book/10236550.jpg" TargetMode="External" Id="rId714" /><Relationship Type="http://schemas.openxmlformats.org/officeDocument/2006/relationships/hyperlink" Target="http://torg.book-online.ru/photo_book/8018040.jpg" TargetMode="External" Id="rId715" /><Relationship Type="http://schemas.openxmlformats.org/officeDocument/2006/relationships/hyperlink" Target="http://torg.book-online.ru/photo_book/8345160.jpg" TargetMode="External" Id="rId716" /><Relationship Type="http://schemas.openxmlformats.org/officeDocument/2006/relationships/hyperlink" Target="http://torg.book-online.ru/photo_book/9735160.jpg" TargetMode="External" Id="rId717" /><Relationship Type="http://schemas.openxmlformats.org/officeDocument/2006/relationships/hyperlink" Target="http://torg.book-online.ru/photo_book/10169380.jpg" TargetMode="External" Id="rId718" /><Relationship Type="http://schemas.openxmlformats.org/officeDocument/2006/relationships/hyperlink" Target="http://torg.book-online.ru/photo_book/9837290.jpg" TargetMode="External" Id="rId719" /><Relationship Type="http://schemas.openxmlformats.org/officeDocument/2006/relationships/hyperlink" Target="http://torg.book-online.ru/photo_book/9972770.jpg" TargetMode="External" Id="rId720" /><Relationship Type="http://schemas.openxmlformats.org/officeDocument/2006/relationships/hyperlink" Target="http://torg.book-online.ru/photo_book/9252400.jpg" TargetMode="External" Id="rId721" /><Relationship Type="http://schemas.openxmlformats.org/officeDocument/2006/relationships/hyperlink" Target="http://torg.book-online.ru/photo_book/8727950.jpg" TargetMode="External" Id="rId722" /><Relationship Type="http://schemas.openxmlformats.org/officeDocument/2006/relationships/hyperlink" Target="http://torg.book-online.ru/photo_book/10777990.jpg" TargetMode="External" Id="rId723" /><Relationship Type="http://schemas.openxmlformats.org/officeDocument/2006/relationships/hyperlink" Target="http://torg.book-online.ru/photo_book/10777970.jpg" TargetMode="External" Id="rId724" /><Relationship Type="http://schemas.openxmlformats.org/officeDocument/2006/relationships/hyperlink" Target="http://torg.book-online.ru/photo_book/8470160.jpg" TargetMode="External" Id="rId725" /><Relationship Type="http://schemas.openxmlformats.org/officeDocument/2006/relationships/hyperlink" Target="http://torg.book-online.ru/photo_book/8598550.jpg" TargetMode="External" Id="rId726" /><Relationship Type="http://schemas.openxmlformats.org/officeDocument/2006/relationships/hyperlink" Target="http://torg.book-online.ru/photo_book/8921070.jpg" TargetMode="External" Id="rId727" /><Relationship Type="http://schemas.openxmlformats.org/officeDocument/2006/relationships/hyperlink" Target="http://torg.book-online.ru/photo_book/8819550.jpg" TargetMode="External" Id="rId728" /><Relationship Type="http://schemas.openxmlformats.org/officeDocument/2006/relationships/hyperlink" Target="http://torg.book-online.ru/photo_book/8734240.jpg" TargetMode="External" Id="rId729" /><Relationship Type="http://schemas.openxmlformats.org/officeDocument/2006/relationships/hyperlink" Target="http://torg.book-online.ru/photo_book/8355940.jpg" TargetMode="External" Id="rId730" /><Relationship Type="http://schemas.openxmlformats.org/officeDocument/2006/relationships/hyperlink" Target="http://torg.book-online.ru/photo_book/11711990.jpg" TargetMode="External" Id="rId731" /><Relationship Type="http://schemas.openxmlformats.org/officeDocument/2006/relationships/hyperlink" Target="http://torg.book-online.ru/photo_book/11712000.jpg" TargetMode="External" Id="rId732" /><Relationship Type="http://schemas.openxmlformats.org/officeDocument/2006/relationships/hyperlink" Target="http://torg.book-online.ru/photo_book/8471990.jpg" TargetMode="External" Id="rId733" /><Relationship Type="http://schemas.openxmlformats.org/officeDocument/2006/relationships/hyperlink" Target="http://torg.book-online.ru/photo_book/8740570.jpg" TargetMode="External" Id="rId734" /><Relationship Type="http://schemas.openxmlformats.org/officeDocument/2006/relationships/hyperlink" Target="http://torg.book-online.ru/photo_book/8976720.jpg" TargetMode="External" Id="rId735" /><Relationship Type="http://schemas.openxmlformats.org/officeDocument/2006/relationships/hyperlink" Target="http://torg.book-online.ru/photo_book/9578490.jpg" TargetMode="External" Id="rId736" /><Relationship Type="http://schemas.openxmlformats.org/officeDocument/2006/relationships/hyperlink" Target="http://torg.book-online.ru/photo_book/9577790.jpg" TargetMode="External" Id="rId737" /><Relationship Type="http://schemas.openxmlformats.org/officeDocument/2006/relationships/hyperlink" Target="http://torg.book-online.ru/photo_book/9577940.jpg" TargetMode="External" Id="rId738" /><Relationship Type="http://schemas.openxmlformats.org/officeDocument/2006/relationships/hyperlink" Target="http://torg.book-online.ru/photo_book/5793130.jpg" TargetMode="External" Id="rId739" /><Relationship Type="http://schemas.openxmlformats.org/officeDocument/2006/relationships/hyperlink" Target="http://torg.book-online.ru/photo_book/11801080.jpg" TargetMode="External" Id="rId740" /><Relationship Type="http://schemas.openxmlformats.org/officeDocument/2006/relationships/hyperlink" Target="http://torg.book-online.ru/photo_book/11799590.jpg" TargetMode="External" Id="rId741" /><Relationship Type="http://schemas.openxmlformats.org/officeDocument/2006/relationships/hyperlink" Target="http://torg.book-online.ru/photo_book/8897170.jpg" TargetMode="External" Id="rId742" /><Relationship Type="http://schemas.openxmlformats.org/officeDocument/2006/relationships/hyperlink" Target="http://torg.book-online.ru/photo_book/8897460.jpg" TargetMode="External" Id="rId743" /><Relationship Type="http://schemas.openxmlformats.org/officeDocument/2006/relationships/hyperlink" Target="http://torg.book-online.ru/photo_book/8897150.jpg" TargetMode="External" Id="rId744" /><Relationship Type="http://schemas.openxmlformats.org/officeDocument/2006/relationships/hyperlink" Target="http://torg.book-online.ru/photo_book/9728970.jpg" TargetMode="External" Id="rId745" /><Relationship Type="http://schemas.openxmlformats.org/officeDocument/2006/relationships/hyperlink" Target="http://torg.book-online.ru/photo_book/12236910.jpg" TargetMode="External" Id="rId746" /><Relationship Type="http://schemas.openxmlformats.org/officeDocument/2006/relationships/hyperlink" Target="http://torg.book-online.ru/photo_book/9859800.jpg" TargetMode="External" Id="rId747" /><Relationship Type="http://schemas.openxmlformats.org/officeDocument/2006/relationships/hyperlink" Target="http://torg.book-online.ru/photo_book/9725200.jpg" TargetMode="External" Id="rId748" /><Relationship Type="http://schemas.openxmlformats.org/officeDocument/2006/relationships/hyperlink" Target="http://torg.book-online.ru/photo_book/8570600.jpg" TargetMode="External" Id="rId749" /><Relationship Type="http://schemas.openxmlformats.org/officeDocument/2006/relationships/hyperlink" Target="http://torg.book-online.ru/photo_book/8998820.jpg" TargetMode="External" Id="rId750" /><Relationship Type="http://schemas.openxmlformats.org/officeDocument/2006/relationships/hyperlink" Target="http://torg.book-online.ru/photo_book/7541800.jpg" TargetMode="External" Id="rId751" /><Relationship Type="http://schemas.openxmlformats.org/officeDocument/2006/relationships/hyperlink" Target="http://torg.book-online.ru/photo_book/10631160.jpg" TargetMode="External" Id="rId752" /><Relationship Type="http://schemas.openxmlformats.org/officeDocument/2006/relationships/hyperlink" Target="http://torg.book-online.ru/photo_book/11018880.jpg" TargetMode="External" Id="rId753" /><Relationship Type="http://schemas.openxmlformats.org/officeDocument/2006/relationships/hyperlink" Target="http://torg.book-online.ru/photo_book/11018900.jpg" TargetMode="External" Id="rId754" /><Relationship Type="http://schemas.openxmlformats.org/officeDocument/2006/relationships/hyperlink" Target="http://torg.book-online.ru/photo_book/11018950.jpg" TargetMode="External" Id="rId755" /><Relationship Type="http://schemas.openxmlformats.org/officeDocument/2006/relationships/hyperlink" Target="http://torg.book-online.ru/photo_book/8805590.jpg" TargetMode="External" Id="rId756" /><Relationship Type="http://schemas.openxmlformats.org/officeDocument/2006/relationships/hyperlink" Target="http://torg.book-online.ru/photo_book/9448180.jpg" TargetMode="External" Id="rId757" /><Relationship Type="http://schemas.openxmlformats.org/officeDocument/2006/relationships/hyperlink" Target="http://torg.book-online.ru/photo_book/9861000.jpg" TargetMode="External" Id="rId758" /><Relationship Type="http://schemas.openxmlformats.org/officeDocument/2006/relationships/hyperlink" Target="http://torg.book-online.ru/photo_book/9767040.jpg" TargetMode="External" Id="rId759" /><Relationship Type="http://schemas.openxmlformats.org/officeDocument/2006/relationships/hyperlink" Target="http://torg.book-online.ru/photo_book/9859750.jpg" TargetMode="External" Id="rId760" /><Relationship Type="http://schemas.openxmlformats.org/officeDocument/2006/relationships/hyperlink" Target="http://torg.book-online.ru/photo_book/10702370.jpg" TargetMode="External" Id="rId761" /><Relationship Type="http://schemas.openxmlformats.org/officeDocument/2006/relationships/hyperlink" Target="http://torg.book-online.ru/photo_book/10739840.jpg" TargetMode="External" Id="rId762" /><Relationship Type="http://schemas.openxmlformats.org/officeDocument/2006/relationships/hyperlink" Target="http://torg.book-online.ru/photo_book/9636200.jpg" TargetMode="External" Id="rId763" /><Relationship Type="http://schemas.openxmlformats.org/officeDocument/2006/relationships/hyperlink" Target="http://torg.book-online.ru/photo_book/10746610.jpg" TargetMode="External" Id="rId764" /><Relationship Type="http://schemas.openxmlformats.org/officeDocument/2006/relationships/hyperlink" Target="http://torg.book-online.ru/photo_book/10292550.jpg" TargetMode="External" Id="rId765" /><Relationship Type="http://schemas.openxmlformats.org/officeDocument/2006/relationships/hyperlink" Target="http://torg.book-online.ru/photo_book/9447370.jpg" TargetMode="External" Id="rId766" /><Relationship Type="http://schemas.openxmlformats.org/officeDocument/2006/relationships/hyperlink" Target="http://torg.book-online.ru/photo_book/9801170.jpg" TargetMode="External" Id="rId767" /><Relationship Type="http://schemas.openxmlformats.org/officeDocument/2006/relationships/hyperlink" Target="http://torg.book-online.ru/photo_book/10748480.jpg" TargetMode="External" Id="rId768" /><Relationship Type="http://schemas.openxmlformats.org/officeDocument/2006/relationships/hyperlink" Target="http://torg.book-online.ru/photo_book/9968560.jpg" TargetMode="External" Id="rId769" /><Relationship Type="http://schemas.openxmlformats.org/officeDocument/2006/relationships/hyperlink" Target="http://torg.book-online.ru/photo_book/10041640.jpg" TargetMode="External" Id="rId770" /><Relationship Type="http://schemas.openxmlformats.org/officeDocument/2006/relationships/hyperlink" Target="http://torg.book-online.ru/photo_book/9400490.jpg" TargetMode="External" Id="rId771" /><Relationship Type="http://schemas.openxmlformats.org/officeDocument/2006/relationships/hyperlink" Target="http://torg.book-online.ru/photo_book/10809050.jpg" TargetMode="External" Id="rId772" /><Relationship Type="http://schemas.openxmlformats.org/officeDocument/2006/relationships/hyperlink" Target="http://torg.book-online.ru/photo_book/9531520.jpg" TargetMode="External" Id="rId773" /><Relationship Type="http://schemas.openxmlformats.org/officeDocument/2006/relationships/hyperlink" Target="http://torg.book-online.ru/photo_book/10941500.jpg" TargetMode="External" Id="rId774" /><Relationship Type="http://schemas.openxmlformats.org/officeDocument/2006/relationships/hyperlink" Target="http://torg.book-online.ru/photo_book/11374570.jpg" TargetMode="External" Id="rId775" /><Relationship Type="http://schemas.openxmlformats.org/officeDocument/2006/relationships/hyperlink" Target="http://torg.book-online.ru/photo_book/9078560.jpg" TargetMode="External" Id="rId776" /><Relationship Type="http://schemas.openxmlformats.org/officeDocument/2006/relationships/hyperlink" Target="http://torg.book-online.ru/photo_book/9667010.jpg" TargetMode="External" Id="rId777" /><Relationship Type="http://schemas.openxmlformats.org/officeDocument/2006/relationships/hyperlink" Target="http://torg.book-online.ru/photo_book/9646120.jpg" TargetMode="External" Id="rId778" /><Relationship Type="http://schemas.openxmlformats.org/officeDocument/2006/relationships/hyperlink" Target="http://torg.book-online.ru/photo_book/9670410.jpg" TargetMode="External" Id="rId779" /><Relationship Type="http://schemas.openxmlformats.org/officeDocument/2006/relationships/hyperlink" Target="http://torg.book-online.ru/photo_book/10371210.jpg" TargetMode="External" Id="rId780" /><Relationship Type="http://schemas.openxmlformats.org/officeDocument/2006/relationships/hyperlink" Target="http://torg.book-online.ru/photo_book/9768950.jpg" TargetMode="External" Id="rId781" /><Relationship Type="http://schemas.openxmlformats.org/officeDocument/2006/relationships/hyperlink" Target="http://torg.book-online.ru/photo_book/9378850.jpg" TargetMode="External" Id="rId782" /><Relationship Type="http://schemas.openxmlformats.org/officeDocument/2006/relationships/hyperlink" Target="http://torg.book-online.ru/photo_book/11107810.jpg" TargetMode="External" Id="rId783" /><Relationship Type="http://schemas.openxmlformats.org/officeDocument/2006/relationships/hyperlink" Target="http://torg.book-online.ru/photo_book/9286740.jpg" TargetMode="External" Id="rId784" /><Relationship Type="http://schemas.openxmlformats.org/officeDocument/2006/relationships/hyperlink" Target="http://torg.book-online.ru/photo_book/10409580.jpg" TargetMode="External" Id="rId785" /><Relationship Type="http://schemas.openxmlformats.org/officeDocument/2006/relationships/hyperlink" Target="http://torg.book-online.ru/photo_book/9806910.jpg" TargetMode="External" Id="rId786" /><Relationship Type="http://schemas.openxmlformats.org/officeDocument/2006/relationships/hyperlink" Target="http://torg.book-online.ru/photo_book/9632720.jpg" TargetMode="External" Id="rId787" /><Relationship Type="http://schemas.openxmlformats.org/officeDocument/2006/relationships/hyperlink" Target="http://torg.book-online.ru/photo_book/10556720.jpg" TargetMode="External" Id="rId788" /><Relationship Type="http://schemas.openxmlformats.org/officeDocument/2006/relationships/hyperlink" Target="http://torg.book-online.ru/photo_book/10419660.jpg" TargetMode="External" Id="rId789" /><Relationship Type="http://schemas.openxmlformats.org/officeDocument/2006/relationships/hyperlink" Target="http://torg.book-online.ru/photo_book/11771230.jpg" TargetMode="External" Id="rId790" /><Relationship Type="http://schemas.openxmlformats.org/officeDocument/2006/relationships/hyperlink" Target="http://torg.book-online.ru/photo_book/8467010.jpg" TargetMode="External" Id="rId791" /><Relationship Type="http://schemas.openxmlformats.org/officeDocument/2006/relationships/hyperlink" Target="http://torg.book-online.ru/photo_book/11946570.jpg" TargetMode="External" Id="rId792" /><Relationship Type="http://schemas.openxmlformats.org/officeDocument/2006/relationships/hyperlink" Target="http://torg.book-online.ru/photo_book/8830300.jpg" TargetMode="External" Id="rId793" /><Relationship Type="http://schemas.openxmlformats.org/officeDocument/2006/relationships/hyperlink" Target="http://torg.book-online.ru/photo_book/12110210.jpg" TargetMode="External" Id="rId794" /><Relationship Type="http://schemas.openxmlformats.org/officeDocument/2006/relationships/hyperlink" Target="http://torg.book-online.ru/photo_book/9597400.jpg" TargetMode="External" Id="rId795" /><Relationship Type="http://schemas.openxmlformats.org/officeDocument/2006/relationships/hyperlink" Target="http://torg.book-online.ru/photo_book/10488820.jpg" TargetMode="External" Id="rId796" /><Relationship Type="http://schemas.openxmlformats.org/officeDocument/2006/relationships/hyperlink" Target="http://torg.book-online.ru/photo_book/10482280.jpg" TargetMode="External" Id="rId797" /><Relationship Type="http://schemas.openxmlformats.org/officeDocument/2006/relationships/hyperlink" Target="http://torg.book-online.ru/photo_book/10482270.jpg" TargetMode="External" Id="rId798" /><Relationship Type="http://schemas.openxmlformats.org/officeDocument/2006/relationships/hyperlink" Target="http://torg.book-online.ru/photo_book/9416860.jpg" TargetMode="External" Id="rId799" /><Relationship Type="http://schemas.openxmlformats.org/officeDocument/2006/relationships/hyperlink" Target="http://torg.book-online.ru/photo_book/12256970.jpg" TargetMode="External" Id="rId800" /><Relationship Type="http://schemas.openxmlformats.org/officeDocument/2006/relationships/hyperlink" Target="http://torg.book-online.ru/photo_book/12225240.jpg" TargetMode="External" Id="rId801" /><Relationship Type="http://schemas.openxmlformats.org/officeDocument/2006/relationships/hyperlink" Target="http://torg.book-online.ru/photo_book/10748430.jpg" TargetMode="External" Id="rId802" /><Relationship Type="http://schemas.openxmlformats.org/officeDocument/2006/relationships/hyperlink" Target="http://torg.book-online.ru/photo_book/10170730.jpg" TargetMode="External" Id="rId803" /><Relationship Type="http://schemas.openxmlformats.org/officeDocument/2006/relationships/hyperlink" Target="http://torg.book-online.ru/photo_book/10739570.jpg" TargetMode="External" Id="rId804" /><Relationship Type="http://schemas.openxmlformats.org/officeDocument/2006/relationships/hyperlink" Target="http://torg.book-online.ru/photo_book/8859000.jpg" TargetMode="External" Id="rId805" /><Relationship Type="http://schemas.openxmlformats.org/officeDocument/2006/relationships/hyperlink" Target="http://torg.book-online.ru/photo_book/10455270.jpg" TargetMode="External" Id="rId806" /><Relationship Type="http://schemas.openxmlformats.org/officeDocument/2006/relationships/hyperlink" Target="http://torg.book-online.ru/photo_book/11092900.jpg" TargetMode="External" Id="rId807" /><Relationship Type="http://schemas.openxmlformats.org/officeDocument/2006/relationships/hyperlink" Target="http://torg.book-online.ru/photo_book/10530540.jpg" TargetMode="External" Id="rId808" /><Relationship Type="http://schemas.openxmlformats.org/officeDocument/2006/relationships/hyperlink" Target="http://torg.book-online.ru/photo_book/8740470.jpg" TargetMode="External" Id="rId809" /><Relationship Type="http://schemas.openxmlformats.org/officeDocument/2006/relationships/hyperlink" Target="http://torg.book-online.ru/photo_book/10777900.jpg" TargetMode="External" Id="rId810" /><Relationship Type="http://schemas.openxmlformats.org/officeDocument/2006/relationships/hyperlink" Target="http://torg.book-online.ru/photo_book/7228410.jpg" TargetMode="External" Id="rId811" /><Relationship Type="http://schemas.openxmlformats.org/officeDocument/2006/relationships/hyperlink" Target="http://torg.book-online.ru/photo_book/12264240.jpg" TargetMode="External" Id="rId812" /><Relationship Type="http://schemas.openxmlformats.org/officeDocument/2006/relationships/hyperlink" Target="http://torg.book-online.ru/photo_book/6854730.jpg" TargetMode="External" Id="rId813" /><Relationship Type="http://schemas.openxmlformats.org/officeDocument/2006/relationships/hyperlink" Target="http://torg.book-online.ru/photo_book/7543650.jpg" TargetMode="External" Id="rId814" /><Relationship Type="http://schemas.openxmlformats.org/officeDocument/2006/relationships/hyperlink" Target="http://torg.book-online.ru/photo_book/8652010.jpg" TargetMode="External" Id="rId815" /><Relationship Type="http://schemas.openxmlformats.org/officeDocument/2006/relationships/hyperlink" Target="http://torg.book-online.ru/photo_book/8483990.jpg" TargetMode="External" Id="rId816" /><Relationship Type="http://schemas.openxmlformats.org/officeDocument/2006/relationships/hyperlink" Target="http://torg.book-online.ru/photo_book/8447160.jpg" TargetMode="External" Id="rId817" /><Relationship Type="http://schemas.openxmlformats.org/officeDocument/2006/relationships/hyperlink" Target="http://torg.book-online.ru/photo_book/9709760.jpg" TargetMode="External" Id="rId818" /><Relationship Type="http://schemas.openxmlformats.org/officeDocument/2006/relationships/hyperlink" Target="http://torg.book-online.ru/photo_book/9182030.jpg" TargetMode="External" Id="rId819" /><Relationship Type="http://schemas.openxmlformats.org/officeDocument/2006/relationships/hyperlink" Target="http://torg.book-online.ru/photo_book/9552350.jpg" TargetMode="External" Id="rId820" /><Relationship Type="http://schemas.openxmlformats.org/officeDocument/2006/relationships/hyperlink" Target="http://torg.book-online.ru/photo_book/10162170.jpg" TargetMode="External" Id="rId821" /><Relationship Type="http://schemas.openxmlformats.org/officeDocument/2006/relationships/hyperlink" Target="http://torg.book-online.ru/photo_book/10473720.jpg" TargetMode="External" Id="rId822" /><Relationship Type="http://schemas.openxmlformats.org/officeDocument/2006/relationships/hyperlink" Target="http://torg.book-online.ru/photo_book/10233700.jpg" TargetMode="External" Id="rId823" /><Relationship Type="http://schemas.openxmlformats.org/officeDocument/2006/relationships/hyperlink" Target="http://torg.book-online.ru/photo_book/10726090.jpg" TargetMode="External" Id="rId824" /><Relationship Type="http://schemas.openxmlformats.org/officeDocument/2006/relationships/hyperlink" Target="http://torg.book-online.ru/photo_book/10162150.jpg" TargetMode="External" Id="rId825" /><Relationship Type="http://schemas.openxmlformats.org/officeDocument/2006/relationships/hyperlink" Target="http://torg.book-online.ru/photo_book/8297310.jpg" TargetMode="External" Id="rId826" /><Relationship Type="http://schemas.openxmlformats.org/officeDocument/2006/relationships/hyperlink" Target="http://torg.book-online.ru/photo_book/8420360.jpg" TargetMode="External" Id="rId827" /><Relationship Type="http://schemas.openxmlformats.org/officeDocument/2006/relationships/hyperlink" Target="http://torg.book-online.ru/photo_book/5821600.jpg" TargetMode="External" Id="rId828" /><Relationship Type="http://schemas.openxmlformats.org/officeDocument/2006/relationships/hyperlink" Target="http://torg.book-online.ru/photo_book/11926760.jpg" TargetMode="External" Id="rId829" /><Relationship Type="http://schemas.openxmlformats.org/officeDocument/2006/relationships/hyperlink" Target="http://torg.book-online.ru/photo_book/10664900.jpg" TargetMode="External" Id="rId830" /><Relationship Type="http://schemas.openxmlformats.org/officeDocument/2006/relationships/hyperlink" Target="http://torg.book-online.ru/photo_book/11791350.jpg" TargetMode="External" Id="rId831" /><Relationship Type="http://schemas.openxmlformats.org/officeDocument/2006/relationships/hyperlink" Target="http://torg.book-online.ru/photo_book/11903490.jpg" TargetMode="External" Id="rId832" /><Relationship Type="http://schemas.openxmlformats.org/officeDocument/2006/relationships/hyperlink" Target="http://torg.book-online.ru/photo_book/10038000.jpg" TargetMode="External" Id="rId833" /><Relationship Type="http://schemas.openxmlformats.org/officeDocument/2006/relationships/hyperlink" Target="http://torg.book-online.ru/photo_book/8404760.jpg" TargetMode="External" Id="rId834" /><Relationship Type="http://schemas.openxmlformats.org/officeDocument/2006/relationships/hyperlink" Target="http://torg.book-online.ru/photo_book/11540410.jpg" TargetMode="External" Id="rId835" /><Relationship Type="http://schemas.openxmlformats.org/officeDocument/2006/relationships/hyperlink" Target="http://torg.book-online.ru/photo_book/12259200.jpg" TargetMode="External" Id="rId836" /><Relationship Type="http://schemas.openxmlformats.org/officeDocument/2006/relationships/hyperlink" Target="http://torg.book-online.ru/photo_book/12235500.jpg" TargetMode="External" Id="rId837" /><Relationship Type="http://schemas.openxmlformats.org/officeDocument/2006/relationships/hyperlink" Target="http://torg.book-online.ru/photo_book/12230630.jpg" TargetMode="External" Id="rId838" /><Relationship Type="http://schemas.openxmlformats.org/officeDocument/2006/relationships/hyperlink" Target="http://torg.book-online.ru/photo_book/12257590.jpg" TargetMode="External" Id="rId839" /><Relationship Type="http://schemas.openxmlformats.org/officeDocument/2006/relationships/hyperlink" Target="http://torg.book-online.ru/photo_book/9278250.jpg" TargetMode="External" Id="rId840" /><Relationship Type="http://schemas.openxmlformats.org/officeDocument/2006/relationships/hyperlink" Target="http://torg.book-online.ru/photo_book/9112600.jpg" TargetMode="External" Id="rId841" /><Relationship Type="http://schemas.openxmlformats.org/officeDocument/2006/relationships/hyperlink" Target="http://torg.book-online.ru/photo_book/11775700.jpg" TargetMode="External" Id="rId842" /><Relationship Type="http://schemas.openxmlformats.org/officeDocument/2006/relationships/hyperlink" Target="http://torg.book-online.ru/photo_book/11775730.jpg" TargetMode="External" Id="rId843" /><Relationship Type="http://schemas.openxmlformats.org/officeDocument/2006/relationships/hyperlink" Target="http://torg.book-online.ru/photo_book/11775710.jpg" TargetMode="External" Id="rId844" /><Relationship Type="http://schemas.openxmlformats.org/officeDocument/2006/relationships/hyperlink" Target="http://torg.book-online.ru/photo_book/8329720.jpg" TargetMode="External" Id="rId845" /><Relationship Type="http://schemas.openxmlformats.org/officeDocument/2006/relationships/hyperlink" Target="http://torg.book-online.ru/photo_book/12236930.jpg" TargetMode="External" Id="rId846" /><Relationship Type="http://schemas.openxmlformats.org/officeDocument/2006/relationships/hyperlink" Target="http://torg.book-online.ru/photo_book/11603290.jpg" TargetMode="External" Id="rId847" /><Relationship Type="http://schemas.openxmlformats.org/officeDocument/2006/relationships/hyperlink" Target="http://torg.book-online.ru/photo_book/11782550.jpg" TargetMode="External" Id="rId848" /><Relationship Type="http://schemas.openxmlformats.org/officeDocument/2006/relationships/hyperlink" Target="http://torg.book-online.ru/photo_book/11603300.jpg" TargetMode="External" Id="rId849" /><Relationship Type="http://schemas.openxmlformats.org/officeDocument/2006/relationships/hyperlink" Target="http://torg.book-online.ru/photo_book/11192130.jpg" TargetMode="External" Id="rId850" /><Relationship Type="http://schemas.openxmlformats.org/officeDocument/2006/relationships/hyperlink" Target="http://torg.book-online.ru/photo_book/11509570.jpg" TargetMode="External" Id="rId851" /><Relationship Type="http://schemas.openxmlformats.org/officeDocument/2006/relationships/hyperlink" Target="http://torg.book-online.ru/photo_book/11782560.jpg" TargetMode="External" Id="rId852" /><Relationship Type="http://schemas.openxmlformats.org/officeDocument/2006/relationships/hyperlink" Target="http://torg.book-online.ru/photo_book/11603310.jpg" TargetMode="External" Id="rId853" /><Relationship Type="http://schemas.openxmlformats.org/officeDocument/2006/relationships/hyperlink" Target="http://torg.book-online.ru/photo_book/11375770.jpg" TargetMode="External" Id="rId854" /><Relationship Type="http://schemas.openxmlformats.org/officeDocument/2006/relationships/hyperlink" Target="http://torg.book-online.ru/photo_book/11612620.jpg" TargetMode="External" Id="rId855" /><Relationship Type="http://schemas.openxmlformats.org/officeDocument/2006/relationships/hyperlink" Target="http://torg.book-online.ru/photo_book/7586720.jpg" TargetMode="External" Id="rId856" /><Relationship Type="http://schemas.openxmlformats.org/officeDocument/2006/relationships/hyperlink" Target="http://torg.book-online.ru/photo_book/8018220.jpg" TargetMode="External" Id="rId857" /><Relationship Type="http://schemas.openxmlformats.org/officeDocument/2006/relationships/hyperlink" Target="http://torg.book-online.ru/photo_book/9479310.jpg" TargetMode="External" Id="rId858" /><Relationship Type="http://schemas.openxmlformats.org/officeDocument/2006/relationships/hyperlink" Target="http://torg.book-online.ru/photo_book/8652020.jpg" TargetMode="External" Id="rId859" /><Relationship Type="http://schemas.openxmlformats.org/officeDocument/2006/relationships/hyperlink" Target="http://torg.book-online.ru/photo_book/8716530.jpg" TargetMode="External" Id="rId860" /><Relationship Type="http://schemas.openxmlformats.org/officeDocument/2006/relationships/hyperlink" Target="http://torg.book-online.ru/photo_book/8462600.jpg" TargetMode="External" Id="rId861" /><Relationship Type="http://schemas.openxmlformats.org/officeDocument/2006/relationships/hyperlink" Target="http://torg.book-online.ru/photo_book/8902090.jpg" TargetMode="External" Id="rId862" /><Relationship Type="http://schemas.openxmlformats.org/officeDocument/2006/relationships/hyperlink" Target="http://torg.book-online.ru/photo_book/9688010.jpg" TargetMode="External" Id="rId863" /><Relationship Type="http://schemas.openxmlformats.org/officeDocument/2006/relationships/hyperlink" Target="http://torg.book-online.ru/photo_book/8668990.jpg" TargetMode="External" Id="rId864" /><Relationship Type="http://schemas.openxmlformats.org/officeDocument/2006/relationships/hyperlink" Target="http://torg.book-online.ru/photo_book/7288270.jpg" TargetMode="External" Id="rId865" /><Relationship Type="http://schemas.openxmlformats.org/officeDocument/2006/relationships/hyperlink" Target="http://torg.book-online.ru/photo_book/6262700.jpg" TargetMode="External" Id="rId866" /><Relationship Type="http://schemas.openxmlformats.org/officeDocument/2006/relationships/hyperlink" Target="http://torg.book-online.ru/photo_book/6254930.jpg" TargetMode="External" Id="rId867" /><Relationship Type="http://schemas.openxmlformats.org/officeDocument/2006/relationships/hyperlink" Target="http://torg.book-online.ru/photo_book/6715760.jpg" TargetMode="External" Id="rId868" /><Relationship Type="http://schemas.openxmlformats.org/officeDocument/2006/relationships/hyperlink" Target="http://torg.book-online.ru/photo_book/6807900.jpg" TargetMode="External" Id="rId869" /><Relationship Type="http://schemas.openxmlformats.org/officeDocument/2006/relationships/hyperlink" Target="http://torg.book-online.ru/photo_book/9612130.jpg" TargetMode="External" Id="rId870" /><Relationship Type="http://schemas.openxmlformats.org/officeDocument/2006/relationships/hyperlink" Target="http://torg.book-online.ru/photo_book/9617450.jpg" TargetMode="External" Id="rId871" /><Relationship Type="http://schemas.openxmlformats.org/officeDocument/2006/relationships/hyperlink" Target="http://torg.book-online.ru/photo_book/8814790.jpg" TargetMode="External" Id="rId872" /><Relationship Type="http://schemas.openxmlformats.org/officeDocument/2006/relationships/hyperlink" Target="http://torg.book-online.ru/photo_book/8677230.jpg" TargetMode="External" Id="rId873" /><Relationship Type="http://schemas.openxmlformats.org/officeDocument/2006/relationships/hyperlink" Target="http://torg.book-online.ru/photo_book/8230680.jpg" TargetMode="External" Id="rId874" /><Relationship Type="http://schemas.openxmlformats.org/officeDocument/2006/relationships/hyperlink" Target="http://torg.book-online.ru/photo_book/9589820.jpg" TargetMode="External" Id="rId875" /><Relationship Type="http://schemas.openxmlformats.org/officeDocument/2006/relationships/hyperlink" Target="http://torg.book-online.ru/photo_book/12117720.jpg" TargetMode="External" Id="rId876" /><Relationship Type="http://schemas.openxmlformats.org/officeDocument/2006/relationships/hyperlink" Target="http://torg.book-online.ru/photo_book/11924310.jpg" TargetMode="External" Id="rId877" /><Relationship Type="http://schemas.openxmlformats.org/officeDocument/2006/relationships/hyperlink" Target="http://torg.book-online.ru/photo_book/11825970.jpg" TargetMode="External" Id="rId878" /><Relationship Type="http://schemas.openxmlformats.org/officeDocument/2006/relationships/hyperlink" Target="http://torg.book-online.ru/photo_book/9691070.jpg" TargetMode="External" Id="rId879" /><Relationship Type="http://schemas.openxmlformats.org/officeDocument/2006/relationships/hyperlink" Target="http://torg.book-online.ru/photo_book/9972930.jpg" TargetMode="External" Id="rId880" /><Relationship Type="http://schemas.openxmlformats.org/officeDocument/2006/relationships/hyperlink" Target="http://torg.book-online.ru/photo_book/8817670.jpg" TargetMode="External" Id="rId881" /><Relationship Type="http://schemas.openxmlformats.org/officeDocument/2006/relationships/hyperlink" Target="http://torg.book-online.ru/photo_book/11693680.jpg" TargetMode="External" Id="rId882" /><Relationship Type="http://schemas.openxmlformats.org/officeDocument/2006/relationships/hyperlink" Target="http://torg.book-online.ru/photo_book/11095730.jpg" TargetMode="External" Id="rId883" /><Relationship Type="http://schemas.openxmlformats.org/officeDocument/2006/relationships/hyperlink" Target="http://torg.book-online.ru/photo_book/8360960.jpg" TargetMode="External" Id="rId884" /><Relationship Type="http://schemas.openxmlformats.org/officeDocument/2006/relationships/hyperlink" Target="http://torg.book-online.ru/photo_book/9194200.jpg" TargetMode="External" Id="rId885" /><Relationship Type="http://schemas.openxmlformats.org/officeDocument/2006/relationships/hyperlink" Target="http://torg.book-online.ru/photo_book/8756920.jpg" TargetMode="External" Id="rId886" /><Relationship Type="http://schemas.openxmlformats.org/officeDocument/2006/relationships/hyperlink" Target="http://torg.book-online.ru/photo_book/8606860.jpg" TargetMode="External" Id="rId887" /><Relationship Type="http://schemas.openxmlformats.org/officeDocument/2006/relationships/hyperlink" Target="http://torg.book-online.ru/photo_book/8606670.jpg" TargetMode="External" Id="rId888" /><Relationship Type="http://schemas.openxmlformats.org/officeDocument/2006/relationships/hyperlink" Target="http://torg.book-online.ru/photo_book/11224810.jpg" TargetMode="External" Id="rId889" /><Relationship Type="http://schemas.openxmlformats.org/officeDocument/2006/relationships/hyperlink" Target="http://torg.book-online.ru/photo_book/10845060.jpg" TargetMode="External" Id="rId890" /><Relationship Type="http://schemas.openxmlformats.org/officeDocument/2006/relationships/hyperlink" Target="http://torg.book-online.ru/photo_book/9733320.jpg" TargetMode="External" Id="rId891" /><Relationship Type="http://schemas.openxmlformats.org/officeDocument/2006/relationships/hyperlink" Target="http://torg.book-online.ru/photo_book/9733300.jpg" TargetMode="External" Id="rId892" /><Relationship Type="http://schemas.openxmlformats.org/officeDocument/2006/relationships/hyperlink" Target="http://torg.book-online.ru/photo_book/9734040.jpg" TargetMode="External" Id="rId893" /><Relationship Type="http://schemas.openxmlformats.org/officeDocument/2006/relationships/hyperlink" Target="http://torg.book-online.ru/photo_book/9733330.jpg" TargetMode="External" Id="rId894" /><Relationship Type="http://schemas.openxmlformats.org/officeDocument/2006/relationships/hyperlink" Target="http://torg.book-online.ru/photo_book/9735210.jpg" TargetMode="External" Id="rId895" /><Relationship Type="http://schemas.openxmlformats.org/officeDocument/2006/relationships/hyperlink" Target="http://torg.book-online.ru/photo_book/9703950.jpg" TargetMode="External" Id="rId896" /><Relationship Type="http://schemas.openxmlformats.org/officeDocument/2006/relationships/hyperlink" Target="http://torg.book-online.ru/photo_book/7199580.jpg" TargetMode="External" Id="rId897" /><Relationship Type="http://schemas.openxmlformats.org/officeDocument/2006/relationships/hyperlink" Target="http://torg.book-online.ru/photo_book/9560760.jpg" TargetMode="External" Id="rId898" /><Relationship Type="http://schemas.openxmlformats.org/officeDocument/2006/relationships/hyperlink" Target="http://torg.book-online.ru/photo_book/9563580.jpg" TargetMode="External" Id="rId899" /><Relationship Type="http://schemas.openxmlformats.org/officeDocument/2006/relationships/hyperlink" Target="http://torg.book-online.ru/photo_book/9556020.jpg" TargetMode="External" Id="rId900" /><Relationship Type="http://schemas.openxmlformats.org/officeDocument/2006/relationships/hyperlink" Target="http://torg.book-online.ru/photo_book/9868390.jpg" TargetMode="External" Id="rId901" /><Relationship Type="http://schemas.openxmlformats.org/officeDocument/2006/relationships/hyperlink" Target="http://torg.book-online.ru/photo_book/11951390.jpg" TargetMode="External" Id="rId902" /><Relationship Type="http://schemas.openxmlformats.org/officeDocument/2006/relationships/hyperlink" Target="http://torg.book-online.ru/photo_book/12112990.jpg" TargetMode="External" Id="rId903" /><Relationship Type="http://schemas.openxmlformats.org/officeDocument/2006/relationships/hyperlink" Target="http://torg.book-online.ru/photo_book/12112970.jpg" TargetMode="External" Id="rId904" /><Relationship Type="http://schemas.openxmlformats.org/officeDocument/2006/relationships/hyperlink" Target="http://torg.book-online.ru/photo_book/12062920.jpg" TargetMode="External" Id="rId905" /><Relationship Type="http://schemas.openxmlformats.org/officeDocument/2006/relationships/hyperlink" Target="http://torg.book-online.ru/photo_book/11149030.jpg" TargetMode="External" Id="rId906" /><Relationship Type="http://schemas.openxmlformats.org/officeDocument/2006/relationships/hyperlink" Target="http://torg.book-online.ru/photo_book/11212630.jpg" TargetMode="External" Id="rId907" /><Relationship Type="http://schemas.openxmlformats.org/officeDocument/2006/relationships/hyperlink" Target="http://torg.book-online.ru/photo_book/11157970.jpg" TargetMode="External" Id="rId908" /><Relationship Type="http://schemas.openxmlformats.org/officeDocument/2006/relationships/hyperlink" Target="http://torg.book-online.ru/photo_book/11069060.jpg" TargetMode="External" Id="rId909" /><Relationship Type="http://schemas.openxmlformats.org/officeDocument/2006/relationships/hyperlink" Target="http://torg.book-online.ru/photo_book/11372580.jpg" TargetMode="External" Id="rId910" /><Relationship Type="http://schemas.openxmlformats.org/officeDocument/2006/relationships/hyperlink" Target="http://torg.book-online.ru/photo_book/8435090.jpg" TargetMode="External" Id="rId911" /><Relationship Type="http://schemas.openxmlformats.org/officeDocument/2006/relationships/hyperlink" Target="http://torg.book-online.ru/photo_book/11421040.jpg" TargetMode="External" Id="rId912" /><Relationship Type="http://schemas.openxmlformats.org/officeDocument/2006/relationships/hyperlink" Target="http://torg.book-online.ru/photo_book/8723820.jpg" TargetMode="External" Id="rId913" /><Relationship Type="http://schemas.openxmlformats.org/officeDocument/2006/relationships/hyperlink" Target="http://torg.book-online.ru/photo_book/11775340.jpg" TargetMode="External" Id="rId914" /><Relationship Type="http://schemas.openxmlformats.org/officeDocument/2006/relationships/hyperlink" Target="http://torg.book-online.ru/photo_book/11144140.jpg" TargetMode="External" Id="rId915" /><Relationship Type="http://schemas.openxmlformats.org/officeDocument/2006/relationships/hyperlink" Target="http://torg.book-online.ru/photo_book/11436410.jpg" TargetMode="External" Id="rId916" /><Relationship Type="http://schemas.openxmlformats.org/officeDocument/2006/relationships/hyperlink" Target="http://torg.book-online.ru/photo_book/11316950.jpg" TargetMode="External" Id="rId917" /><Relationship Type="http://schemas.openxmlformats.org/officeDocument/2006/relationships/hyperlink" Target="http://torg.book-online.ru/photo_book/11184820.jpg" TargetMode="External" Id="rId918" /><Relationship Type="http://schemas.openxmlformats.org/officeDocument/2006/relationships/hyperlink" Target="http://torg.book-online.ru/photo_book/8969400.jpg" TargetMode="External" Id="rId919" /><Relationship Type="http://schemas.openxmlformats.org/officeDocument/2006/relationships/hyperlink" Target="http://torg.book-online.ru/photo_book/9950650.jpg" TargetMode="External" Id="rId920" /><Relationship Type="http://schemas.openxmlformats.org/officeDocument/2006/relationships/hyperlink" Target="http://torg.book-online.ru/photo_book/9793360.jpg" TargetMode="External" Id="rId921" /><Relationship Type="http://schemas.openxmlformats.org/officeDocument/2006/relationships/hyperlink" Target="http://torg.book-online.ru/photo_book/9437230.jpg" TargetMode="External" Id="rId922" /><Relationship Type="http://schemas.openxmlformats.org/officeDocument/2006/relationships/hyperlink" Target="http://torg.book-online.ru/photo_book/10377360.jpg" TargetMode="External" Id="rId923" /><Relationship Type="http://schemas.openxmlformats.org/officeDocument/2006/relationships/hyperlink" Target="http://torg.book-online.ru/photo_book/8934360.jpg" TargetMode="External" Id="rId924" /><Relationship Type="http://schemas.openxmlformats.org/officeDocument/2006/relationships/hyperlink" Target="http://torg.book-online.ru/photo_book/8817640.jpg" TargetMode="External" Id="rId925" /><Relationship Type="http://schemas.openxmlformats.org/officeDocument/2006/relationships/hyperlink" Target="http://torg.book-online.ru/photo_book/8899310.jpg" TargetMode="External" Id="rId926" /><Relationship Type="http://schemas.openxmlformats.org/officeDocument/2006/relationships/hyperlink" Target="http://torg.book-online.ru/photo_book/8825990.jpg" TargetMode="External" Id="rId927" /><Relationship Type="http://schemas.openxmlformats.org/officeDocument/2006/relationships/hyperlink" Target="http://torg.book-online.ru/photo_book/8756560.jpg" TargetMode="External" Id="rId928" /><Relationship Type="http://schemas.openxmlformats.org/officeDocument/2006/relationships/hyperlink" Target="http://torg.book-online.ru/photo_book/8821790.jpg" TargetMode="External" Id="rId929" /><Relationship Type="http://schemas.openxmlformats.org/officeDocument/2006/relationships/hyperlink" Target="http://torg.book-online.ru/photo_book/8943740.jpg" TargetMode="External" Id="rId930" /><Relationship Type="http://schemas.openxmlformats.org/officeDocument/2006/relationships/hyperlink" Target="http://torg.book-online.ru/photo_book/8825930.jpg" TargetMode="External" Id="rId931" /><Relationship Type="http://schemas.openxmlformats.org/officeDocument/2006/relationships/hyperlink" Target="http://torg.book-online.ru/photo_book/9086280.jpg" TargetMode="External" Id="rId932" /><Relationship Type="http://schemas.openxmlformats.org/officeDocument/2006/relationships/hyperlink" Target="http://torg.book-online.ru/photo_book/9091300.jpg" TargetMode="External" Id="rId933" /><Relationship Type="http://schemas.openxmlformats.org/officeDocument/2006/relationships/hyperlink" Target="http://torg.book-online.ru/photo_book/6653250.jpg" TargetMode="External" Id="rId934" /><Relationship Type="http://schemas.openxmlformats.org/officeDocument/2006/relationships/hyperlink" Target="http://torg.book-online.ru/photo_book/9243670.jpg" TargetMode="External" Id="rId935" /><Relationship Type="http://schemas.openxmlformats.org/officeDocument/2006/relationships/hyperlink" Target="http://torg.book-online.ru/photo_book/9557170.jpg" TargetMode="External" Id="rId936" /><Relationship Type="http://schemas.openxmlformats.org/officeDocument/2006/relationships/hyperlink" Target="http://torg.book-online.ru/photo_book/9378320.jpg" TargetMode="External" Id="rId937" /><Relationship Type="http://schemas.openxmlformats.org/officeDocument/2006/relationships/hyperlink" Target="http://torg.book-online.ru/photo_book/9561480.jpg" TargetMode="External" Id="rId938" /><Relationship Type="http://schemas.openxmlformats.org/officeDocument/2006/relationships/hyperlink" Target="http://torg.book-online.ru/photo_book/8952870.jpg" TargetMode="External" Id="rId939" /><Relationship Type="http://schemas.openxmlformats.org/officeDocument/2006/relationships/hyperlink" Target="http://torg.book-online.ru/photo_book/9698820.jpg" TargetMode="External" Id="rId940" /><Relationship Type="http://schemas.openxmlformats.org/officeDocument/2006/relationships/hyperlink" Target="http://torg.book-online.ru/photo_book/10455700.jpg" TargetMode="External" Id="rId941" /><Relationship Type="http://schemas.openxmlformats.org/officeDocument/2006/relationships/hyperlink" Target="http://torg.book-online.ru/photo_book/10416050.jpg" TargetMode="External" Id="rId942" /><Relationship Type="http://schemas.openxmlformats.org/officeDocument/2006/relationships/hyperlink" Target="http://torg.book-online.ru/photo_book/10409620.jpg" TargetMode="External" Id="rId943" /><Relationship Type="http://schemas.openxmlformats.org/officeDocument/2006/relationships/hyperlink" Target="http://torg.book-online.ru/photo_book/8441870.jpg" TargetMode="External" Id="rId944" /><Relationship Type="http://schemas.openxmlformats.org/officeDocument/2006/relationships/hyperlink" Target="http://torg.book-online.ru/photo_book/8445120.jpg" TargetMode="External" Id="rId945" /><Relationship Type="http://schemas.openxmlformats.org/officeDocument/2006/relationships/hyperlink" Target="http://torg.book-online.ru/photo_book/11003180.jpg" TargetMode="External" Id="rId946" /><Relationship Type="http://schemas.openxmlformats.org/officeDocument/2006/relationships/hyperlink" Target="http://torg.book-online.ru/photo_book/11022610.jpg" TargetMode="External" Id="rId947" /><Relationship Type="http://schemas.openxmlformats.org/officeDocument/2006/relationships/hyperlink" Target="http://torg.book-online.ru/photo_book/11022620.jpg" TargetMode="External" Id="rId948" /><Relationship Type="http://schemas.openxmlformats.org/officeDocument/2006/relationships/hyperlink" Target="http://torg.book-online.ru/photo_book/11079440.jpg" TargetMode="External" Id="rId949" /><Relationship Type="http://schemas.openxmlformats.org/officeDocument/2006/relationships/hyperlink" Target="http://torg.book-online.ru/photo_book/11004000.jpg" TargetMode="External" Id="rId950" /><Relationship Type="http://schemas.openxmlformats.org/officeDocument/2006/relationships/hyperlink" Target="http://torg.book-online.ru/photo_book/11079410.jpg" TargetMode="External" Id="rId951" /><Relationship Type="http://schemas.openxmlformats.org/officeDocument/2006/relationships/hyperlink" Target="http://torg.book-online.ru/photo_book/8477850.jpg" TargetMode="External" Id="rId952" /><Relationship Type="http://schemas.openxmlformats.org/officeDocument/2006/relationships/hyperlink" Target="http://torg.book-online.ru/photo_book/8195310.jpg" TargetMode="External" Id="rId953" /><Relationship Type="http://schemas.openxmlformats.org/officeDocument/2006/relationships/hyperlink" Target="http://torg.book-online.ru/photo_book/8987000.jpg" TargetMode="External" Id="rId954" /><Relationship Type="http://schemas.openxmlformats.org/officeDocument/2006/relationships/hyperlink" Target="http://torg.book-online.ru/photo_book/8989680.jpg" TargetMode="External" Id="rId955" /><Relationship Type="http://schemas.openxmlformats.org/officeDocument/2006/relationships/hyperlink" Target="http://torg.book-online.ru/photo_book/8905350.jpg" TargetMode="External" Id="rId956" /><Relationship Type="http://schemas.openxmlformats.org/officeDocument/2006/relationships/hyperlink" Target="http://torg.book-online.ru/photo_book/9313210.jpg" TargetMode="External" Id="rId957" /><Relationship Type="http://schemas.openxmlformats.org/officeDocument/2006/relationships/hyperlink" Target="http://torg.book-online.ru/photo_book/11062610.jpg" TargetMode="External" Id="rId958" /><Relationship Type="http://schemas.openxmlformats.org/officeDocument/2006/relationships/hyperlink" Target="http://torg.book-online.ru/photo_book/9416790.jpg" TargetMode="External" Id="rId959" /><Relationship Type="http://schemas.openxmlformats.org/officeDocument/2006/relationships/hyperlink" Target="http://torg.book-online.ru/photo_book/11498970.jpg" TargetMode="External" Id="rId960" /><Relationship Type="http://schemas.openxmlformats.org/officeDocument/2006/relationships/hyperlink" Target="http://torg.book-online.ru/photo_book/11679850.jpg" TargetMode="External" Id="rId961" /><Relationship Type="http://schemas.openxmlformats.org/officeDocument/2006/relationships/hyperlink" Target="http://torg.book-online.ru/photo_book/11679640.jpg" TargetMode="External" Id="rId962" /><Relationship Type="http://schemas.openxmlformats.org/officeDocument/2006/relationships/hyperlink" Target="http://torg.book-online.ru/photo_book/11498740.jpg" TargetMode="External" Id="rId963" /><Relationship Type="http://schemas.openxmlformats.org/officeDocument/2006/relationships/hyperlink" Target="http://torg.book-online.ru/photo_book/11498750.jpg" TargetMode="External" Id="rId964" /><Relationship Type="http://schemas.openxmlformats.org/officeDocument/2006/relationships/hyperlink" Target="http://torg.book-online.ru/photo_book/11468080.jpg" TargetMode="External" Id="rId965" /><Relationship Type="http://schemas.openxmlformats.org/officeDocument/2006/relationships/hyperlink" Target="http://torg.book-online.ru/photo_book/11496590.jpg" TargetMode="External" Id="rId966" /><Relationship Type="http://schemas.openxmlformats.org/officeDocument/2006/relationships/hyperlink" Target="http://torg.book-online.ru/photo_book/8206070.jpg" TargetMode="External" Id="rId967" /><Relationship Type="http://schemas.openxmlformats.org/officeDocument/2006/relationships/hyperlink" Target="http://torg.book-online.ru/photo_book/11496610.jpg" TargetMode="External" Id="rId968" /><Relationship Type="http://schemas.openxmlformats.org/officeDocument/2006/relationships/hyperlink" Target="http://torg.book-online.ru/photo_book/11496600.jpg" TargetMode="External" Id="rId969" /><Relationship Type="http://schemas.openxmlformats.org/officeDocument/2006/relationships/hyperlink" Target="http://torg.book-online.ru/photo_book/11468020.jpg" TargetMode="External" Id="rId970" /><Relationship Type="http://schemas.openxmlformats.org/officeDocument/2006/relationships/hyperlink" Target="http://torg.book-online.ru/photo_book/11498710.jpg" TargetMode="External" Id="rId971" /><Relationship Type="http://schemas.openxmlformats.org/officeDocument/2006/relationships/hyperlink" Target="http://torg.book-online.ru/photo_book/11468030.jpg" TargetMode="External" Id="rId972" /><Relationship Type="http://schemas.openxmlformats.org/officeDocument/2006/relationships/hyperlink" Target="http://torg.book-online.ru/photo_book/9868400.jpg" TargetMode="External" Id="rId973" /><Relationship Type="http://schemas.openxmlformats.org/officeDocument/2006/relationships/hyperlink" Target="http://torg.book-online.ru/photo_book/10830950.jpg" TargetMode="External" Id="rId974" /><Relationship Type="http://schemas.openxmlformats.org/officeDocument/2006/relationships/hyperlink" Target="http://torg.book-online.ru/photo_book/10765760.jpg" TargetMode="External" Id="rId975" /><Relationship Type="http://schemas.openxmlformats.org/officeDocument/2006/relationships/hyperlink" Target="http://torg.book-online.ru/photo_book/10485050.jpg" TargetMode="External" Id="rId976" /><Relationship Type="http://schemas.openxmlformats.org/officeDocument/2006/relationships/hyperlink" Target="http://torg.book-online.ru/photo_book/9769190.jpg" TargetMode="External" Id="rId977" /><Relationship Type="http://schemas.openxmlformats.org/officeDocument/2006/relationships/hyperlink" Target="http://torg.book-online.ru/photo_book/9862210.jpg" TargetMode="External" Id="rId978" /><Relationship Type="http://schemas.openxmlformats.org/officeDocument/2006/relationships/hyperlink" Target="http://torg.book-online.ru/photo_book/11163690.jpg" TargetMode="External" Id="rId979" /><Relationship Type="http://schemas.openxmlformats.org/officeDocument/2006/relationships/hyperlink" Target="http://torg.book-online.ru/photo_book/10544240.jpg" TargetMode="External" Id="rId980" /><Relationship Type="http://schemas.openxmlformats.org/officeDocument/2006/relationships/hyperlink" Target="http://torg.book-online.ru/photo_book/10043460.jpg" TargetMode="External" Id="rId981" /><Relationship Type="http://schemas.openxmlformats.org/officeDocument/2006/relationships/hyperlink" Target="http://torg.book-online.ru/photo_book/11159450.jpg" TargetMode="External" Id="rId982" /><Relationship Type="http://schemas.openxmlformats.org/officeDocument/2006/relationships/hyperlink" Target="http://torg.book-online.ru/photo_book/12288440.jpg" TargetMode="External" Id="rId983" /><Relationship Type="http://schemas.openxmlformats.org/officeDocument/2006/relationships/hyperlink" Target="http://torg.book-online.ru/photo_book/11951430.jpg" TargetMode="External" Id="rId984" /><Relationship Type="http://schemas.openxmlformats.org/officeDocument/2006/relationships/hyperlink" Target="http://torg.book-online.ru/photo_book/12248660.jpg" TargetMode="External" Id="rId985" /><Relationship Type="http://schemas.openxmlformats.org/officeDocument/2006/relationships/hyperlink" Target="http://torg.book-online.ru/photo_book/10889270.jpg" TargetMode="External" Id="rId986" /><Relationship Type="http://schemas.openxmlformats.org/officeDocument/2006/relationships/hyperlink" Target="http://torg.book-online.ru/photo_book/9930390.jpg" TargetMode="External" Id="rId987" /><Relationship Type="http://schemas.openxmlformats.org/officeDocument/2006/relationships/hyperlink" Target="http://torg.book-online.ru/photo_book/11375230.jpg" TargetMode="External" Id="rId988" /><Relationship Type="http://schemas.openxmlformats.org/officeDocument/2006/relationships/hyperlink" Target="http://torg.book-online.ru/photo_book/10410890.jpg" TargetMode="External" Id="rId989" /><Relationship Type="http://schemas.openxmlformats.org/officeDocument/2006/relationships/hyperlink" Target="http://torg.book-online.ru/photo_book/10560550.jpg" TargetMode="External" Id="rId990" /><Relationship Type="http://schemas.openxmlformats.org/officeDocument/2006/relationships/hyperlink" Target="http://torg.book-online.ru/photo_book/11951450.jpg" TargetMode="External" Id="rId991" /><Relationship Type="http://schemas.openxmlformats.org/officeDocument/2006/relationships/hyperlink" Target="http://torg.book-online.ru/photo_book/11027340.jpg" TargetMode="External" Id="rId992" /><Relationship Type="http://schemas.openxmlformats.org/officeDocument/2006/relationships/hyperlink" Target="http://torg.book-online.ru/photo_book/11071020.jpg" TargetMode="External" Id="rId993" /><Relationship Type="http://schemas.openxmlformats.org/officeDocument/2006/relationships/hyperlink" Target="http://torg.book-online.ru/photo_book/10747780.jpg" TargetMode="External" Id="rId994" /><Relationship Type="http://schemas.openxmlformats.org/officeDocument/2006/relationships/hyperlink" Target="http://torg.book-online.ru/photo_book/10747770.jpg" TargetMode="External" Id="rId995" /><Relationship Type="http://schemas.openxmlformats.org/officeDocument/2006/relationships/hyperlink" Target="http://torg.book-online.ru/photo_book/11027360.jpg" TargetMode="External" Id="rId996" /><Relationship Type="http://schemas.openxmlformats.org/officeDocument/2006/relationships/hyperlink" Target="http://torg.book-online.ru/photo_book/11422470.jpg" TargetMode="External" Id="rId997" /><Relationship Type="http://schemas.openxmlformats.org/officeDocument/2006/relationships/hyperlink" Target="http://torg.book-online.ru/photo_book/11532190.jpg" TargetMode="External" Id="rId998" /><Relationship Type="http://schemas.openxmlformats.org/officeDocument/2006/relationships/hyperlink" Target="http://torg.book-online.ru/photo_book/11485560.jpg" TargetMode="External" Id="rId999" /><Relationship Type="http://schemas.openxmlformats.org/officeDocument/2006/relationships/hyperlink" Target="http://torg.book-online.ru/photo_book/8808400.jpg" TargetMode="External" Id="rId1000" /><Relationship Type="http://schemas.openxmlformats.org/officeDocument/2006/relationships/hyperlink" Target="http://torg.book-online.ru/photo_book/8782490.jpg" TargetMode="External" Id="rId1001" /><Relationship Type="http://schemas.openxmlformats.org/officeDocument/2006/relationships/hyperlink" Target="http://torg.book-online.ru/photo_book/11897850.jpg" TargetMode="External" Id="rId1002" /><Relationship Type="http://schemas.openxmlformats.org/officeDocument/2006/relationships/hyperlink" Target="http://torg.book-online.ru/photo_book/11897880.jpg" TargetMode="External" Id="rId1003" /><Relationship Type="http://schemas.openxmlformats.org/officeDocument/2006/relationships/hyperlink" Target="http://torg.book-online.ru/photo_book/12114700.jpg" TargetMode="External" Id="rId1004" /><Relationship Type="http://schemas.openxmlformats.org/officeDocument/2006/relationships/hyperlink" Target="http://torg.book-online.ru/photo_book/9972900.jpg" TargetMode="External" Id="rId1005" /><Relationship Type="http://schemas.openxmlformats.org/officeDocument/2006/relationships/hyperlink" Target="http://torg.book-online.ru/photo_book/10196890.jpg" TargetMode="External" Id="rId1006" /><Relationship Type="http://schemas.openxmlformats.org/officeDocument/2006/relationships/hyperlink" Target="http://torg.book-online.ru/photo_book/10225350.jpg" TargetMode="External" Id="rId1007" /><Relationship Type="http://schemas.openxmlformats.org/officeDocument/2006/relationships/hyperlink" Target="http://torg.book-online.ru/photo_book/10225340.jpg" TargetMode="External" Id="rId1008" /><Relationship Type="http://schemas.openxmlformats.org/officeDocument/2006/relationships/hyperlink" Target="http://torg.book-online.ru/photo_book/9075720.jpg" TargetMode="External" Id="rId1009" /><Relationship Type="http://schemas.openxmlformats.org/officeDocument/2006/relationships/hyperlink" Target="http://torg.book-online.ru/photo_book/9794550.jpg" TargetMode="External" Id="rId1010" /><Relationship Type="http://schemas.openxmlformats.org/officeDocument/2006/relationships/hyperlink" Target="http://torg.book-online.ru/photo_book/11028400.jpg" TargetMode="External" Id="rId1011" /><Relationship Type="http://schemas.openxmlformats.org/officeDocument/2006/relationships/hyperlink" Target="http://torg.book-online.ru/photo_book/11379920.jpg" TargetMode="External" Id="rId1012" /><Relationship Type="http://schemas.openxmlformats.org/officeDocument/2006/relationships/hyperlink" Target="http://torg.book-online.ru/photo_book/10384370.jpg" TargetMode="External" Id="rId1013" /><Relationship Type="http://schemas.openxmlformats.org/officeDocument/2006/relationships/hyperlink" Target="http://torg.book-online.ru/photo_book/11012630.jpg" TargetMode="External" Id="rId1014" /><Relationship Type="http://schemas.openxmlformats.org/officeDocument/2006/relationships/hyperlink" Target="http://torg.book-online.ru/photo_book/11073730.jpg" TargetMode="External" Id="rId1015" /><Relationship Type="http://schemas.openxmlformats.org/officeDocument/2006/relationships/hyperlink" Target="http://torg.book-online.ru/photo_book/11480110.jpg" TargetMode="External" Id="rId1016" /><Relationship Type="http://schemas.openxmlformats.org/officeDocument/2006/relationships/hyperlink" Target="http://torg.book-online.ru/photo_book/10384400.jpg" TargetMode="External" Id="rId1017" /><Relationship Type="http://schemas.openxmlformats.org/officeDocument/2006/relationships/hyperlink" Target="http://torg.book-online.ru/photo_book/11004010.jpg" TargetMode="External" Id="rId1018" /><Relationship Type="http://schemas.openxmlformats.org/officeDocument/2006/relationships/hyperlink" Target="http://torg.book-online.ru/photo_book/10390970.jpg" TargetMode="External" Id="rId1019" /><Relationship Type="http://schemas.openxmlformats.org/officeDocument/2006/relationships/hyperlink" Target="http://torg.book-online.ru/photo_book/9743250.jpg" TargetMode="External" Id="rId1020" /><Relationship Type="http://schemas.openxmlformats.org/officeDocument/2006/relationships/hyperlink" Target="http://torg.book-online.ru/photo_book/10384350.jpg" TargetMode="External" Id="rId1021" /><Relationship Type="http://schemas.openxmlformats.org/officeDocument/2006/relationships/hyperlink" Target="http://torg.book-online.ru/photo_book/10384360.jpg" TargetMode="External" Id="rId1022" /><Relationship Type="http://schemas.openxmlformats.org/officeDocument/2006/relationships/hyperlink" Target="http://torg.book-online.ru/photo_book/11380000.jpg" TargetMode="External" Id="rId1023" /><Relationship Type="http://schemas.openxmlformats.org/officeDocument/2006/relationships/hyperlink" Target="http://torg.book-online.ru/photo_book/10384380.jpg" TargetMode="External" Id="rId1024" /><Relationship Type="http://schemas.openxmlformats.org/officeDocument/2006/relationships/hyperlink" Target="http://torg.book-online.ru/photo_book/11502900.jpg" TargetMode="External" Id="rId1025" /><Relationship Type="http://schemas.openxmlformats.org/officeDocument/2006/relationships/hyperlink" Target="http://torg.book-online.ru/photo_book/10384280.jpg" TargetMode="External" Id="rId1026" /><Relationship Type="http://schemas.openxmlformats.org/officeDocument/2006/relationships/hyperlink" Target="http://torg.book-online.ru/photo_book/11014980.jpg" TargetMode="External" Id="rId1027" /><Relationship Type="http://schemas.openxmlformats.org/officeDocument/2006/relationships/hyperlink" Target="http://torg.book-online.ru/photo_book/11086270.jpg" TargetMode="External" Id="rId1028" /><Relationship Type="http://schemas.openxmlformats.org/officeDocument/2006/relationships/hyperlink" Target="http://torg.book-online.ru/photo_book/11100930.jpg" TargetMode="External" Id="rId1029" /><Relationship Type="http://schemas.openxmlformats.org/officeDocument/2006/relationships/hyperlink" Target="http://torg.book-online.ru/photo_book/8824880.jpg" TargetMode="External" Id="rId1030" /><Relationship Type="http://schemas.openxmlformats.org/officeDocument/2006/relationships/hyperlink" Target="http://torg.book-online.ru/photo_book/8859310.jpg" TargetMode="External" Id="rId1031" /><Relationship Type="http://schemas.openxmlformats.org/officeDocument/2006/relationships/hyperlink" Target="http://torg.book-online.ru/photo_book/11198050.jpg" TargetMode="External" Id="rId1032" /><Relationship Type="http://schemas.openxmlformats.org/officeDocument/2006/relationships/hyperlink" Target="http://torg.book-online.ru/photo_book/8891690.jpg" TargetMode="External" Id="rId1033" /><Relationship Type="http://schemas.openxmlformats.org/officeDocument/2006/relationships/hyperlink" Target="http://torg.book-online.ru/photo_book/11288880.jpg" TargetMode="External" Id="rId1034" /><Relationship Type="http://schemas.openxmlformats.org/officeDocument/2006/relationships/hyperlink" Target="http://torg.book-online.ru/photo_book/11191690.jpg" TargetMode="External" Id="rId1035" /><Relationship Type="http://schemas.openxmlformats.org/officeDocument/2006/relationships/hyperlink" Target="http://torg.book-online.ru/photo_book/11116450.jpg" TargetMode="External" Id="rId1036" /><Relationship Type="http://schemas.openxmlformats.org/officeDocument/2006/relationships/hyperlink" Target="http://torg.book-online.ru/photo_book/11260910.jpg" TargetMode="External" Id="rId1037" /><Relationship Type="http://schemas.openxmlformats.org/officeDocument/2006/relationships/hyperlink" Target="http://torg.book-online.ru/photo_book/11155880.jpg" TargetMode="External" Id="rId1038" /><Relationship Type="http://schemas.openxmlformats.org/officeDocument/2006/relationships/hyperlink" Target="http://torg.book-online.ru/photo_book/11003020.jpg" TargetMode="External" Id="rId1039" /><Relationship Type="http://schemas.openxmlformats.org/officeDocument/2006/relationships/hyperlink" Target="http://torg.book-online.ru/photo_book/11002840.jpg" TargetMode="External" Id="rId1040" /><Relationship Type="http://schemas.openxmlformats.org/officeDocument/2006/relationships/hyperlink" Target="http://torg.book-online.ru/photo_book/9972830.jpg" TargetMode="External" Id="rId1041" /><Relationship Type="http://schemas.openxmlformats.org/officeDocument/2006/relationships/hyperlink" Target="http://torg.book-online.ru/photo_book/9975250.jpg" TargetMode="External" Id="rId1042" /><Relationship Type="http://schemas.openxmlformats.org/officeDocument/2006/relationships/hyperlink" Target="http://torg.book-online.ru/photo_book/9680970.jpg" TargetMode="External" Id="rId1043" /><Relationship Type="http://schemas.openxmlformats.org/officeDocument/2006/relationships/hyperlink" Target="http://torg.book-online.ru/photo_book/8740520.jpg" TargetMode="External" Id="rId1044" /><Relationship Type="http://schemas.openxmlformats.org/officeDocument/2006/relationships/hyperlink" Target="http://torg.book-online.ru/photo_book/8485130.jpg" TargetMode="External" Id="rId1045" /><Relationship Type="http://schemas.openxmlformats.org/officeDocument/2006/relationships/hyperlink" Target="http://torg.book-online.ru/photo_book/8558730.jpg" TargetMode="External" Id="rId1046" /><Relationship Type="http://schemas.openxmlformats.org/officeDocument/2006/relationships/hyperlink" Target="http://torg.book-online.ru/photo_book/8639700.jpg" TargetMode="External" Id="rId1047" /><Relationship Type="http://schemas.openxmlformats.org/officeDocument/2006/relationships/hyperlink" Target="http://torg.book-online.ru/photo_book/7680150.jpg" TargetMode="External" Id="rId1048" /><Relationship Type="http://schemas.openxmlformats.org/officeDocument/2006/relationships/hyperlink" Target="http://torg.book-online.ru/photo_book/12243960.jpg" TargetMode="External" Id="rId1049" /><Relationship Type="http://schemas.openxmlformats.org/officeDocument/2006/relationships/hyperlink" Target="http://torg.book-online.ru/photo_book/10485060.jpg" TargetMode="External" Id="rId1050" /><Relationship Type="http://schemas.openxmlformats.org/officeDocument/2006/relationships/hyperlink" Target="http://torg.book-online.ru/photo_book/8979210.jpg" TargetMode="External" Id="rId1051" /><Relationship Type="http://schemas.openxmlformats.org/officeDocument/2006/relationships/hyperlink" Target="http://torg.book-online.ru/photo_book/8603090.jpg" TargetMode="External" Id="rId1052" /><Relationship Type="http://schemas.openxmlformats.org/officeDocument/2006/relationships/hyperlink" Target="http://torg.book-online.ru/photo_book/8905360.jpg" TargetMode="External" Id="rId1053" /><Relationship Type="http://schemas.openxmlformats.org/officeDocument/2006/relationships/hyperlink" Target="http://torg.book-online.ru/photo_book/9091360.jpg" TargetMode="External" Id="rId1054" /><Relationship Type="http://schemas.openxmlformats.org/officeDocument/2006/relationships/hyperlink" Target="http://torg.book-online.ru/photo_book/10408220.jpg" TargetMode="External" Id="rId1055" /><Relationship Type="http://schemas.openxmlformats.org/officeDocument/2006/relationships/hyperlink" Target="http://torg.book-online.ru/photo_book/8682240.jpg" TargetMode="External" Id="rId1056" /><Relationship Type="http://schemas.openxmlformats.org/officeDocument/2006/relationships/hyperlink" Target="http://torg.book-online.ru/photo_book/10292700.jpg" TargetMode="External" Id="rId1057" /><Relationship Type="http://schemas.openxmlformats.org/officeDocument/2006/relationships/hyperlink" Target="http://torg.book-online.ru/photo_book/10292370.jpg" TargetMode="External" Id="rId1058" /><Relationship Type="http://schemas.openxmlformats.org/officeDocument/2006/relationships/hyperlink" Target="http://torg.book-online.ru/photo_book/10372920.jpg" TargetMode="External" Id="rId1059" /><Relationship Type="http://schemas.openxmlformats.org/officeDocument/2006/relationships/hyperlink" Target="http://torg.book-online.ru/photo_book/10099090.jpg" TargetMode="External" Id="rId1060" /><Relationship Type="http://schemas.openxmlformats.org/officeDocument/2006/relationships/hyperlink" Target="http://torg.book-online.ru/photo_book/10403250.jpg" TargetMode="External" Id="rId1061" /><Relationship Type="http://schemas.openxmlformats.org/officeDocument/2006/relationships/hyperlink" Target="http://torg.book-online.ru/photo_book/10096280.jpg" TargetMode="External" Id="rId1062" /><Relationship Type="http://schemas.openxmlformats.org/officeDocument/2006/relationships/hyperlink" Target="http://torg.book-online.ru/photo_book/10096290.jpg" TargetMode="External" Id="rId1063" /><Relationship Type="http://schemas.openxmlformats.org/officeDocument/2006/relationships/hyperlink" Target="http://torg.book-online.ru/photo_book/10238910.jpg" TargetMode="External" Id="rId1064" /><Relationship Type="http://schemas.openxmlformats.org/officeDocument/2006/relationships/hyperlink" Target="http://torg.book-online.ru/photo_book/10238920.jpg" TargetMode="External" Id="rId1065" /><Relationship Type="http://schemas.openxmlformats.org/officeDocument/2006/relationships/hyperlink" Target="http://torg.book-online.ru/photo_book/10406750.jpg" TargetMode="External" Id="rId1066" /><Relationship Type="http://schemas.openxmlformats.org/officeDocument/2006/relationships/hyperlink" Target="http://torg.book-online.ru/photo_book/8433030.jpg" TargetMode="External" Id="rId1067" /><Relationship Type="http://schemas.openxmlformats.org/officeDocument/2006/relationships/hyperlink" Target="http://torg.book-online.ru/photo_book/8161430.jpg" TargetMode="External" Id="rId1068" /><Relationship Type="http://schemas.openxmlformats.org/officeDocument/2006/relationships/hyperlink" Target="http://torg.book-online.ru/photo_book/8474930.jpg" TargetMode="External" Id="rId1069" /><Relationship Type="http://schemas.openxmlformats.org/officeDocument/2006/relationships/hyperlink" Target="http://torg.book-online.ru/photo_book/8852220.jpg" TargetMode="External" Id="rId1070" /><Relationship Type="http://schemas.openxmlformats.org/officeDocument/2006/relationships/hyperlink" Target="http://torg.book-online.ru/photo_book/12257230.jpg" TargetMode="External" Id="rId1071" /><Relationship Type="http://schemas.openxmlformats.org/officeDocument/2006/relationships/hyperlink" Target="http://torg.book-online.ru/photo_book/12257370.jpg" TargetMode="External" Id="rId1072" /><Relationship Type="http://schemas.openxmlformats.org/officeDocument/2006/relationships/hyperlink" Target="http://torg.book-online.ru/photo_book/12252000.jpg" TargetMode="External" Id="rId1073" /><Relationship Type="http://schemas.openxmlformats.org/officeDocument/2006/relationships/hyperlink" Target="http://torg.book-online.ru/photo_book/9980870.jpg" TargetMode="External" Id="rId1074" /><Relationship Type="http://schemas.openxmlformats.org/officeDocument/2006/relationships/hyperlink" Target="http://torg.book-online.ru/photo_book/9035890.jpg" TargetMode="External" Id="rId1075" /><Relationship Type="http://schemas.openxmlformats.org/officeDocument/2006/relationships/hyperlink" Target="http://torg.book-online.ru/photo_book/9184240.jpg" TargetMode="External" Id="rId1076" /><Relationship Type="http://schemas.openxmlformats.org/officeDocument/2006/relationships/hyperlink" Target="http://torg.book-online.ru/photo_book/12240660.jpg" TargetMode="External" Id="rId1077" /><Relationship Type="http://schemas.openxmlformats.org/officeDocument/2006/relationships/hyperlink" Target="http://torg.book-online.ru/photo_book/12228500.jpg" TargetMode="External" Id="rId1078" /><Relationship Type="http://schemas.openxmlformats.org/officeDocument/2006/relationships/hyperlink" Target="http://torg.book-online.ru/photo_book/9349010.jpg" TargetMode="External" Id="rId1079" /><Relationship Type="http://schemas.openxmlformats.org/officeDocument/2006/relationships/hyperlink" Target="http://torg.book-online.ru/photo_book/9690490.jpg" TargetMode="External" Id="rId1080" /><Relationship Type="http://schemas.openxmlformats.org/officeDocument/2006/relationships/hyperlink" Target="http://torg.book-online.ru/photo_book/8397290.jpg" TargetMode="External" Id="rId1081" /><Relationship Type="http://schemas.openxmlformats.org/officeDocument/2006/relationships/hyperlink" Target="http://torg.book-online.ru/photo_book/7001210.jpg" TargetMode="External" Id="rId1082" /><Relationship Type="http://schemas.openxmlformats.org/officeDocument/2006/relationships/hyperlink" Target="http://torg.book-online.ru/photo_book/10369200.jpg" TargetMode="External" Id="rId1083" /><Relationship Type="http://schemas.openxmlformats.org/officeDocument/2006/relationships/hyperlink" Target="http://torg.book-online.ru/photo_book/7892360.jpg" TargetMode="External" Id="rId1084" /><Relationship Type="http://schemas.openxmlformats.org/officeDocument/2006/relationships/hyperlink" Target="http://torg.book-online.ru/photo_book/7666990.jpg" TargetMode="External" Id="rId1085" /><Relationship Type="http://schemas.openxmlformats.org/officeDocument/2006/relationships/hyperlink" Target="http://torg.book-online.ru/photo_book/8280680.jpg" TargetMode="External" Id="rId1086" /><Relationship Type="http://schemas.openxmlformats.org/officeDocument/2006/relationships/hyperlink" Target="http://torg.book-online.ru/photo_book/9114190.jpg" TargetMode="External" Id="rId1087" /><Relationship Type="http://schemas.openxmlformats.org/officeDocument/2006/relationships/hyperlink" Target="http://torg.book-online.ru/photo_book/9490510.jpg" TargetMode="External" Id="rId1088" /><Relationship Type="http://schemas.openxmlformats.org/officeDocument/2006/relationships/hyperlink" Target="http://torg.book-online.ru/photo_book/9521750.jpg" TargetMode="External" Id="rId1089" /><Relationship Type="http://schemas.openxmlformats.org/officeDocument/2006/relationships/hyperlink" Target="http://torg.book-online.ru/photo_book/9633490.jpg" TargetMode="External" Id="rId1090" /><Relationship Type="http://schemas.openxmlformats.org/officeDocument/2006/relationships/hyperlink" Target="http://torg.book-online.ru/photo_book/10497780.jpg" TargetMode="External" Id="rId1091" /><Relationship Type="http://schemas.openxmlformats.org/officeDocument/2006/relationships/hyperlink" Target="http://torg.book-online.ru/photo_book/8907490.jpg" TargetMode="External" Id="rId1092" /><Relationship Type="http://schemas.openxmlformats.org/officeDocument/2006/relationships/hyperlink" Target="http://torg.book-online.ru/photo_book/11613220.jpg" TargetMode="External" Id="rId1093" /><Relationship Type="http://schemas.openxmlformats.org/officeDocument/2006/relationships/hyperlink" Target="http://torg.book-online.ru/photo_book/11092870.jpg" TargetMode="External" Id="rId1094" /><Relationship Type="http://schemas.openxmlformats.org/officeDocument/2006/relationships/hyperlink" Target="http://torg.book-online.ru/photo_book/11613200.jpg" TargetMode="External" Id="rId1095" /><Relationship Type="http://schemas.openxmlformats.org/officeDocument/2006/relationships/hyperlink" Target="http://torg.book-online.ru/photo_book/11844490.jpg" TargetMode="External" Id="rId1096" /><Relationship Type="http://schemas.openxmlformats.org/officeDocument/2006/relationships/hyperlink" Target="http://torg.book-online.ru/photo_book/11613210.jpg" TargetMode="External" Id="rId1097" /><Relationship Type="http://schemas.openxmlformats.org/officeDocument/2006/relationships/hyperlink" Target="http://torg.book-online.ru/photo_book/12137180.jpg" TargetMode="External" Id="rId1098" /><Relationship Type="http://schemas.openxmlformats.org/officeDocument/2006/relationships/hyperlink" Target="http://torg.book-online.ru/photo_book/11339120.jpg" TargetMode="External" Id="rId1099" /><Relationship Type="http://schemas.openxmlformats.org/officeDocument/2006/relationships/hyperlink" Target="http://torg.book-online.ru/photo_book/10945380.jpg" TargetMode="External" Id="rId1100" /><Relationship Type="http://schemas.openxmlformats.org/officeDocument/2006/relationships/hyperlink" Target="http://torg.book-online.ru/photo_book/11213370.jpg" TargetMode="External" Id="rId1101" /><Relationship Type="http://schemas.openxmlformats.org/officeDocument/2006/relationships/hyperlink" Target="http://torg.book-online.ru/photo_book/11264620.jpg" TargetMode="External" Id="rId1102" /><Relationship Type="http://schemas.openxmlformats.org/officeDocument/2006/relationships/hyperlink" Target="http://torg.book-online.ru/photo_book/11775720.jpg" TargetMode="External" Id="rId1103" /><Relationship Type="http://schemas.openxmlformats.org/officeDocument/2006/relationships/hyperlink" Target="http://torg.book-online.ru/photo_book/11116470.jpg" TargetMode="External" Id="rId1104" /><Relationship Type="http://schemas.openxmlformats.org/officeDocument/2006/relationships/hyperlink" Target="http://torg.book-online.ru/photo_book/9379070.jpg" TargetMode="External" Id="rId1105" /><Relationship Type="http://schemas.openxmlformats.org/officeDocument/2006/relationships/hyperlink" Target="http://torg.book-online.ru/photo_book/11388110.jpg" TargetMode="External" Id="rId1106" /><Relationship Type="http://schemas.openxmlformats.org/officeDocument/2006/relationships/hyperlink" Target="http://torg.book-online.ru/photo_book/11572440.jpg" TargetMode="External" Id="rId1107" /><Relationship Type="http://schemas.openxmlformats.org/officeDocument/2006/relationships/hyperlink" Target="http://torg.book-online.ru/photo_book/11674850.jpg" TargetMode="External" Id="rId1108" /><Relationship Type="http://schemas.openxmlformats.org/officeDocument/2006/relationships/hyperlink" Target="http://torg.book-online.ru/photo_book/11388120.jpg" TargetMode="External" Id="rId1109" /><Relationship Type="http://schemas.openxmlformats.org/officeDocument/2006/relationships/hyperlink" Target="http://torg.book-online.ru/photo_book/11572450.jpg" TargetMode="External" Id="rId1110" /><Relationship Type="http://schemas.openxmlformats.org/officeDocument/2006/relationships/hyperlink" Target="http://torg.book-online.ru/photo_book/11674840.jpg" TargetMode="External" Id="rId1111" /><Relationship Type="http://schemas.openxmlformats.org/officeDocument/2006/relationships/hyperlink" Target="http://torg.book-online.ru/photo_book/11498810.jpg" TargetMode="External" Id="rId1112" /><Relationship Type="http://schemas.openxmlformats.org/officeDocument/2006/relationships/hyperlink" Target="http://torg.book-online.ru/photo_book/11577840.jpg" TargetMode="External" Id="rId1113" /><Relationship Type="http://schemas.openxmlformats.org/officeDocument/2006/relationships/hyperlink" Target="http://torg.book-online.ru/photo_book/11746600.jpg" TargetMode="External" Id="rId1114" /><Relationship Type="http://schemas.openxmlformats.org/officeDocument/2006/relationships/hyperlink" Target="http://torg.book-online.ru/photo_book/11525240.jpg" TargetMode="External" Id="rId1115" /><Relationship Type="http://schemas.openxmlformats.org/officeDocument/2006/relationships/hyperlink" Target="http://torg.book-online.ru/photo_book/11491590.jpg" TargetMode="External" Id="rId1116" /><Relationship Type="http://schemas.openxmlformats.org/officeDocument/2006/relationships/hyperlink" Target="http://torg.book-online.ru/photo_book/11610330.jpg" TargetMode="External" Id="rId1117" /><Relationship Type="http://schemas.openxmlformats.org/officeDocument/2006/relationships/hyperlink" Target="http://torg.book-online.ru/photo_book/11574960.jpg" TargetMode="External" Id="rId1118" /><Relationship Type="http://schemas.openxmlformats.org/officeDocument/2006/relationships/hyperlink" Target="http://torg.book-online.ru/photo_book/11610310.jpg" TargetMode="External" Id="rId1119" /><Relationship Type="http://schemas.openxmlformats.org/officeDocument/2006/relationships/hyperlink" Target="http://torg.book-online.ru/photo_book/11641940.jpg" TargetMode="External" Id="rId1120" /><Relationship Type="http://schemas.openxmlformats.org/officeDocument/2006/relationships/hyperlink" Target="http://torg.book-online.ru/photo_book/11708610.jpg" TargetMode="External" Id="rId1121" /><Relationship Type="http://schemas.openxmlformats.org/officeDocument/2006/relationships/hyperlink" Target="http://torg.book-online.ru/photo_book/11746610.jpg" TargetMode="External" Id="rId1122" /><Relationship Type="http://schemas.openxmlformats.org/officeDocument/2006/relationships/hyperlink" Target="http://torg.book-online.ru/photo_book/11610300.jpg" TargetMode="External" Id="rId1123" /><Relationship Type="http://schemas.openxmlformats.org/officeDocument/2006/relationships/hyperlink" Target="http://torg.book-online.ru/photo_book/11704820.jpg" TargetMode="External" Id="rId1124" /><Relationship Type="http://schemas.openxmlformats.org/officeDocument/2006/relationships/hyperlink" Target="http://torg.book-online.ru/photo_book/11502870.jpg" TargetMode="External" Id="rId1125" /><Relationship Type="http://schemas.openxmlformats.org/officeDocument/2006/relationships/hyperlink" Target="http://torg.book-online.ru/photo_book/11612270.jpg" TargetMode="External" Id="rId1126" /><Relationship Type="http://schemas.openxmlformats.org/officeDocument/2006/relationships/hyperlink" Target="http://torg.book-online.ru/photo_book/11496020.jpg" TargetMode="External" Id="rId1127" /><Relationship Type="http://schemas.openxmlformats.org/officeDocument/2006/relationships/hyperlink" Target="http://torg.book-online.ru/photo_book/11575610.jpg" TargetMode="External" Id="rId1128" /><Relationship Type="http://schemas.openxmlformats.org/officeDocument/2006/relationships/hyperlink" Target="http://torg.book-online.ru/photo_book/11476230.jpg" TargetMode="External" Id="rId1129" /><Relationship Type="http://schemas.openxmlformats.org/officeDocument/2006/relationships/hyperlink" Target="http://torg.book-online.ru/photo_book/11572430.jpg" TargetMode="External" Id="rId1130" /><Relationship Type="http://schemas.openxmlformats.org/officeDocument/2006/relationships/hyperlink" Target="http://torg.book-online.ru/photo_book/11388100.jpg" TargetMode="External" Id="rId1131" /><Relationship Type="http://schemas.openxmlformats.org/officeDocument/2006/relationships/hyperlink" Target="http://torg.book-online.ru/photo_book/11568580.jpg" TargetMode="External" Id="rId1132" /><Relationship Type="http://schemas.openxmlformats.org/officeDocument/2006/relationships/hyperlink" Target="http://torg.book-online.ru/photo_book/11570430.jpg" TargetMode="External" Id="rId1133" /><Relationship Type="http://schemas.openxmlformats.org/officeDocument/2006/relationships/hyperlink" Target="http://torg.book-online.ru/photo_book/11492880.jpg" TargetMode="External" Id="rId1134" /><Relationship Type="http://schemas.openxmlformats.org/officeDocument/2006/relationships/hyperlink" Target="http://torg.book-online.ru/photo_book/11744250.jpg" TargetMode="External" Id="rId1135" /><Relationship Type="http://schemas.openxmlformats.org/officeDocument/2006/relationships/hyperlink" Target="http://torg.book-online.ru/photo_book/11476250.jpg" TargetMode="External" Id="rId1136" /><Relationship Type="http://schemas.openxmlformats.org/officeDocument/2006/relationships/hyperlink" Target="http://torg.book-online.ru/photo_book/11501870.jpg" TargetMode="External" Id="rId1137" /><Relationship Type="http://schemas.openxmlformats.org/officeDocument/2006/relationships/hyperlink" Target="http://torg.book-online.ru/photo_book/11746760.jpg" TargetMode="External" Id="rId1138" /><Relationship Type="http://schemas.openxmlformats.org/officeDocument/2006/relationships/hyperlink" Target="http://torg.book-online.ru/photo_book/11469200.jpg" TargetMode="External" Id="rId1139" /><Relationship Type="http://schemas.openxmlformats.org/officeDocument/2006/relationships/hyperlink" Target="http://torg.book-online.ru/photo_book/11742560.jpg" TargetMode="External" Id="rId1140" /><Relationship Type="http://schemas.openxmlformats.org/officeDocument/2006/relationships/hyperlink" Target="http://torg.book-online.ru/photo_book/11592280.jpg" TargetMode="External" Id="rId1141" /><Relationship Type="http://schemas.openxmlformats.org/officeDocument/2006/relationships/hyperlink" Target="http://torg.book-online.ru/photo_book/7648840.jpg" TargetMode="External" Id="rId1142" /><Relationship Type="http://schemas.openxmlformats.org/officeDocument/2006/relationships/hyperlink" Target="http://torg.book-online.ru/photo_book/7879290.jpg" TargetMode="External" Id="rId1143" /><Relationship Type="http://schemas.openxmlformats.org/officeDocument/2006/relationships/hyperlink" Target="http://torg.book-online.ru/photo_book/7106550.jpg" TargetMode="External" Id="rId1144" /><Relationship Type="http://schemas.openxmlformats.org/officeDocument/2006/relationships/hyperlink" Target="http://torg.book-online.ru/photo_book/10209580.jpg" TargetMode="External" Id="rId1145" /><Relationship Type="http://schemas.openxmlformats.org/officeDocument/2006/relationships/hyperlink" Target="http://torg.book-online.ru/photo_book/10556700.jpg" TargetMode="External" Id="rId1146" /><Relationship Type="http://schemas.openxmlformats.org/officeDocument/2006/relationships/hyperlink" Target="http://torg.book-online.ru/photo_book/9857540.jpg" TargetMode="External" Id="rId1147" /><Relationship Type="http://schemas.openxmlformats.org/officeDocument/2006/relationships/hyperlink" Target="http://torg.book-online.ru/photo_book/9857640.jpg" TargetMode="External" Id="rId1148" /><Relationship Type="http://schemas.openxmlformats.org/officeDocument/2006/relationships/hyperlink" Target="http://torg.book-online.ru/photo_book/9929610.jpg" TargetMode="External" Id="rId1149" /><Relationship Type="http://schemas.openxmlformats.org/officeDocument/2006/relationships/hyperlink" Target="http://torg.book-online.ru/photo_book/10493090.jpg" TargetMode="External" Id="rId1150" /><Relationship Type="http://schemas.openxmlformats.org/officeDocument/2006/relationships/hyperlink" Target="http://torg.book-online.ru/photo_book/10232280.jpg" TargetMode="External" Id="rId1151" /><Relationship Type="http://schemas.openxmlformats.org/officeDocument/2006/relationships/hyperlink" Target="http://torg.book-online.ru/photo_book/10362120.jpg" TargetMode="External" Id="rId1152" /><Relationship Type="http://schemas.openxmlformats.org/officeDocument/2006/relationships/hyperlink" Target="http://torg.book-online.ru/photo_book/10492440.jpg" TargetMode="External" Id="rId1153" /><Relationship Type="http://schemas.openxmlformats.org/officeDocument/2006/relationships/hyperlink" Target="http://torg.book-online.ru/photo_book/11502890.jpg" TargetMode="External" Id="rId1154" /><Relationship Type="http://schemas.openxmlformats.org/officeDocument/2006/relationships/hyperlink" Target="http://torg.book-online.ru/photo_book/11782510.jpg" TargetMode="External" Id="rId1155" /><Relationship Type="http://schemas.openxmlformats.org/officeDocument/2006/relationships/hyperlink" Target="http://torg.book-online.ru/photo_book/12249000.jpg" TargetMode="External" Id="rId1156" /><Relationship Type="http://schemas.openxmlformats.org/officeDocument/2006/relationships/hyperlink" Target="http://torg.book-online.ru/photo_book/9612360.jpg" TargetMode="External" Id="rId1157" /><Relationship Type="http://schemas.openxmlformats.org/officeDocument/2006/relationships/hyperlink" Target="http://torg.book-online.ru/photo_book/11012580.jpg" TargetMode="External" Id="rId1158" /><Relationship Type="http://schemas.openxmlformats.org/officeDocument/2006/relationships/hyperlink" Target="http://torg.book-online.ru/photo_book/11012660.jpg" TargetMode="External" Id="rId1159" /><Relationship Type="http://schemas.openxmlformats.org/officeDocument/2006/relationships/hyperlink" Target="http://torg.book-online.ru/photo_book/11012590.jpg" TargetMode="External" Id="rId1160" /><Relationship Type="http://schemas.openxmlformats.org/officeDocument/2006/relationships/hyperlink" Target="http://torg.book-online.ru/photo_book/11012650.jpg" TargetMode="External" Id="rId1161" /><Relationship Type="http://schemas.openxmlformats.org/officeDocument/2006/relationships/hyperlink" Target="http://torg.book-online.ru/photo_book/11012430.jpg" TargetMode="External" Id="rId1162" /><Relationship Type="http://schemas.openxmlformats.org/officeDocument/2006/relationships/hyperlink" Target="http://torg.book-online.ru/photo_book/9805820.jpg" TargetMode="External" Id="rId1163" /><Relationship Type="http://schemas.openxmlformats.org/officeDocument/2006/relationships/hyperlink" Target="http://torg.book-online.ru/photo_book/9706720.jpg" TargetMode="External" Id="rId1164" /><Relationship Type="http://schemas.openxmlformats.org/officeDocument/2006/relationships/hyperlink" Target="http://torg.book-online.ru/photo_book/5503660.jpg" TargetMode="External" Id="rId1165" /><Relationship Type="http://schemas.openxmlformats.org/officeDocument/2006/relationships/hyperlink" Target="http://torg.book-online.ru/photo_book/8433250.jpg" TargetMode="External" Id="rId1166" /><Relationship Type="http://schemas.openxmlformats.org/officeDocument/2006/relationships/hyperlink" Target="http://torg.book-online.ru/photo_book/7917800.jpg" TargetMode="External" Id="rId1167" /><Relationship Type="http://schemas.openxmlformats.org/officeDocument/2006/relationships/hyperlink" Target="http://torg.book-online.ru/photo_book/9196400.jpg" TargetMode="External" Id="rId1168" /><Relationship Type="http://schemas.openxmlformats.org/officeDocument/2006/relationships/hyperlink" Target="http://torg.book-online.ru/photo_book/8626100.jpg" TargetMode="External" Id="rId1169" /><Relationship Type="http://schemas.openxmlformats.org/officeDocument/2006/relationships/hyperlink" Target="http://torg.book-online.ru/photo_book/12080520.jpg" TargetMode="External" Id="rId1170" /><Relationship Type="http://schemas.openxmlformats.org/officeDocument/2006/relationships/hyperlink" Target="http://torg.book-online.ru/photo_book/10724680.jpg" TargetMode="External" Id="rId1171" /><Relationship Type="http://schemas.openxmlformats.org/officeDocument/2006/relationships/hyperlink" Target="http://torg.book-online.ru/photo_book/8426660.jpg" TargetMode="External" Id="rId1172" /><Relationship Type="http://schemas.openxmlformats.org/officeDocument/2006/relationships/hyperlink" Target="http://torg.book-online.ru/photo_book/7691350.jpg" TargetMode="External" Id="rId1173" /><Relationship Type="http://schemas.openxmlformats.org/officeDocument/2006/relationships/hyperlink" Target="http://torg.book-online.ru/photo_book/8471260.jpg" TargetMode="External" Id="rId1174" /><Relationship Type="http://schemas.openxmlformats.org/officeDocument/2006/relationships/hyperlink" Target="http://torg.book-online.ru/photo_book/8111480.jpg" TargetMode="External" Id="rId1175" /><Relationship Type="http://schemas.openxmlformats.org/officeDocument/2006/relationships/hyperlink" Target="http://torg.book-online.ru/photo_book/8111470.jpg" TargetMode="External" Id="rId1176" /><Relationship Type="http://schemas.openxmlformats.org/officeDocument/2006/relationships/hyperlink" Target="http://torg.book-online.ru/photo_book/8206110.jpg" TargetMode="External" Id="rId1177" /><Relationship Type="http://schemas.openxmlformats.org/officeDocument/2006/relationships/hyperlink" Target="http://torg.book-online.ru/photo_book/12280940.jpg" TargetMode="External" Id="rId1178" /><Relationship Type="http://schemas.openxmlformats.org/officeDocument/2006/relationships/hyperlink" Target="http://torg.book-online.ru/photo_book/9455040.jpg" TargetMode="External" Id="rId1179" /><Relationship Type="http://schemas.openxmlformats.org/officeDocument/2006/relationships/hyperlink" Target="http://torg.book-online.ru/photo_book/8802070.jpg" TargetMode="External" Id="rId1180" /><Relationship Type="http://schemas.openxmlformats.org/officeDocument/2006/relationships/hyperlink" Target="http://torg.book-online.ru/photo_book/7548470.jpg" TargetMode="External" Id="rId1181" /><Relationship Type="http://schemas.openxmlformats.org/officeDocument/2006/relationships/hyperlink" Target="http://torg.book-online.ru/photo_book/10739180.jpg" TargetMode="External" Id="rId1182" /><Relationship Type="http://schemas.openxmlformats.org/officeDocument/2006/relationships/hyperlink" Target="http://torg.book-online.ru/photo_book/10451600.jpg" TargetMode="External" Id="rId1183" /><Relationship Type="http://schemas.openxmlformats.org/officeDocument/2006/relationships/hyperlink" Target="http://torg.book-online.ru/photo_book/7290630.jpg" TargetMode="External" Id="rId1184" /><Relationship Type="http://schemas.openxmlformats.org/officeDocument/2006/relationships/hyperlink" Target="http://torg.book-online.ru/photo_book/8623210.jpg" TargetMode="External" Id="rId1185" /><Relationship Type="http://schemas.openxmlformats.org/officeDocument/2006/relationships/hyperlink" Target="http://torg.book-online.ru/photo_book/11541280.jpg" TargetMode="External" Id="rId1186" /><Relationship Type="http://schemas.openxmlformats.org/officeDocument/2006/relationships/hyperlink" Target="http://torg.book-online.ru/photo_book/12054380.jpg" TargetMode="External" Id="rId1187" /><Relationship Type="http://schemas.openxmlformats.org/officeDocument/2006/relationships/hyperlink" Target="http://torg.book-online.ru/photo_book/12121390.jpg" TargetMode="External" Id="rId1188" /><Relationship Type="http://schemas.openxmlformats.org/officeDocument/2006/relationships/hyperlink" Target="http://torg.book-online.ru/photo_book/12095200.jpg" TargetMode="External" Id="rId1189" /><Relationship Type="http://schemas.openxmlformats.org/officeDocument/2006/relationships/hyperlink" Target="http://torg.book-online.ru/photo_book/12075740.jpg" TargetMode="External" Id="rId1190" /><Relationship Type="http://schemas.openxmlformats.org/officeDocument/2006/relationships/hyperlink" Target="http://torg.book-online.ru/photo_book/11954500.jpg" TargetMode="External" Id="rId1191" /><Relationship Type="http://schemas.openxmlformats.org/officeDocument/2006/relationships/hyperlink" Target="http://torg.book-online.ru/photo_book/11956490.jpg" TargetMode="External" Id="rId1192" /><Relationship Type="http://schemas.openxmlformats.org/officeDocument/2006/relationships/hyperlink" Target="http://torg.book-online.ru/photo_book/11757510.jpg" TargetMode="External" Id="rId1193" /><Relationship Type="http://schemas.openxmlformats.org/officeDocument/2006/relationships/hyperlink" Target="http://torg.book-online.ru/photo_book/11541480.jpg" TargetMode="External" Id="rId1194" /><Relationship Type="http://schemas.openxmlformats.org/officeDocument/2006/relationships/hyperlink" Target="http://torg.book-online.ru/photo_book/11856800.jpg" TargetMode="External" Id="rId1195" /><Relationship Type="http://schemas.openxmlformats.org/officeDocument/2006/relationships/hyperlink" Target="http://torg.book-online.ru/photo_book/11541320.jpg" TargetMode="External" Id="rId1196" /><Relationship Type="http://schemas.openxmlformats.org/officeDocument/2006/relationships/hyperlink" Target="http://torg.book-online.ru/photo_book/11694040.jpg" TargetMode="External" Id="rId1197" /><Relationship Type="http://schemas.openxmlformats.org/officeDocument/2006/relationships/hyperlink" Target="http://torg.book-online.ru/photo_book/12144070.jpg" TargetMode="External" Id="rId1198" /><Relationship Type="http://schemas.openxmlformats.org/officeDocument/2006/relationships/hyperlink" Target="http://torg.book-online.ru/photo_book/11540920.jpg" TargetMode="External" Id="rId1199" /><Relationship Type="http://schemas.openxmlformats.org/officeDocument/2006/relationships/hyperlink" Target="http://torg.book-online.ru/photo_book/12196280.jpg" TargetMode="External" Id="rId1200" /><Relationship Type="http://schemas.openxmlformats.org/officeDocument/2006/relationships/hyperlink" Target="http://torg.book-online.ru/photo_book/12196290.jpg" TargetMode="External" Id="rId1201" /><Relationship Type="http://schemas.openxmlformats.org/officeDocument/2006/relationships/hyperlink" Target="http://torg.book-online.ru/photo_book/12196330.jpg" TargetMode="External" Id="rId1202" /><Relationship Type="http://schemas.openxmlformats.org/officeDocument/2006/relationships/hyperlink" Target="http://torg.book-online.ru/photo_book/12196300.jpg" TargetMode="External" Id="rId1203" /><Relationship Type="http://schemas.openxmlformats.org/officeDocument/2006/relationships/hyperlink" Target="http://torg.book-online.ru/photo_book/12050580.jpg" TargetMode="External" Id="rId1204" /><Relationship Type="http://schemas.openxmlformats.org/officeDocument/2006/relationships/hyperlink" Target="http://torg.book-online.ru/photo_book/12120650.jpg" TargetMode="External" Id="rId1205" /><Relationship Type="http://schemas.openxmlformats.org/officeDocument/2006/relationships/hyperlink" Target="http://torg.book-online.ru/photo_book/12189340.jpg" TargetMode="External" Id="rId1206" /><Relationship Type="http://schemas.openxmlformats.org/officeDocument/2006/relationships/hyperlink" Target="http://torg.book-online.ru/photo_book/11919820.jpg" TargetMode="External" Id="rId1207" /><Relationship Type="http://schemas.openxmlformats.org/officeDocument/2006/relationships/hyperlink" Target="http://torg.book-online.ru/photo_book/11708580.jpg" TargetMode="External" Id="rId1208" /><Relationship Type="http://schemas.openxmlformats.org/officeDocument/2006/relationships/hyperlink" Target="http://torg.book-online.ru/photo_book/12257550.jpg" TargetMode="External" Id="rId1209" /><Relationship Type="http://schemas.openxmlformats.org/officeDocument/2006/relationships/hyperlink" Target="http://torg.book-online.ru/photo_book/11540840.jpg" TargetMode="External" Id="rId1210" /><Relationship Type="http://schemas.openxmlformats.org/officeDocument/2006/relationships/hyperlink" Target="http://torg.book-online.ru/photo_book/11541010.jpg" TargetMode="External" Id="rId1211" /><Relationship Type="http://schemas.openxmlformats.org/officeDocument/2006/relationships/hyperlink" Target="http://torg.book-online.ru/photo_book/11540930.jpg" TargetMode="External" Id="rId1212" /><Relationship Type="http://schemas.openxmlformats.org/officeDocument/2006/relationships/hyperlink" Target="http://torg.book-online.ru/photo_book/11541250.jpg" TargetMode="External" Id="rId1213" /><Relationship Type="http://schemas.openxmlformats.org/officeDocument/2006/relationships/hyperlink" Target="http://torg.book-online.ru/photo_book/11930690.jpg" TargetMode="External" Id="rId1214" /><Relationship Type="http://schemas.openxmlformats.org/officeDocument/2006/relationships/hyperlink" Target="http://torg.book-online.ru/photo_book/11541340.jpg" TargetMode="External" Id="rId1215" /><Relationship Type="http://schemas.openxmlformats.org/officeDocument/2006/relationships/hyperlink" Target="http://torg.book-online.ru/photo_book/12148250.jpg" TargetMode="External" Id="rId1216" /><Relationship Type="http://schemas.openxmlformats.org/officeDocument/2006/relationships/hyperlink" Target="http://torg.book-online.ru/photo_book/12015850.jpg" TargetMode="External" Id="rId1217" /><Relationship Type="http://schemas.openxmlformats.org/officeDocument/2006/relationships/hyperlink" Target="http://torg.book-online.ru/photo_book/12039020.jpg" TargetMode="External" Id="rId1218" /><Relationship Type="http://schemas.openxmlformats.org/officeDocument/2006/relationships/hyperlink" Target="http://torg.book-online.ru/photo_book/12111150.jpg" TargetMode="External" Id="rId1219" /><Relationship Type="http://schemas.openxmlformats.org/officeDocument/2006/relationships/hyperlink" Target="http://torg.book-online.ru/photo_book/11739090.jpg" TargetMode="External" Id="rId1220" /><Relationship Type="http://schemas.openxmlformats.org/officeDocument/2006/relationships/hyperlink" Target="http://torg.book-online.ru/photo_book/12251270.jpg" TargetMode="External" Id="rId1221" /><Relationship Type="http://schemas.openxmlformats.org/officeDocument/2006/relationships/hyperlink" Target="http://torg.book-online.ru/photo_book/11751170.jpg" TargetMode="External" Id="rId1222" /><Relationship Type="http://schemas.openxmlformats.org/officeDocument/2006/relationships/hyperlink" Target="http://torg.book-online.ru/photo_book/11625970.jpg" TargetMode="External" Id="rId1223" /><Relationship Type="http://schemas.openxmlformats.org/officeDocument/2006/relationships/hyperlink" Target="http://torg.book-online.ru/photo_book/11541100.jpg" TargetMode="External" Id="rId1224" /><Relationship Type="http://schemas.openxmlformats.org/officeDocument/2006/relationships/hyperlink" Target="http://torg.book-online.ru/photo_book/11571070.jpg" TargetMode="External" Id="rId1225" /><Relationship Type="http://schemas.openxmlformats.org/officeDocument/2006/relationships/hyperlink" Target="http://torg.book-online.ru/photo_book/11780750.jpg" TargetMode="External" Id="rId1226" /><Relationship Type="http://schemas.openxmlformats.org/officeDocument/2006/relationships/hyperlink" Target="http://torg.book-online.ru/photo_book/11541330.jpg" TargetMode="External" Id="rId1227" /><Relationship Type="http://schemas.openxmlformats.org/officeDocument/2006/relationships/hyperlink" Target="http://torg.book-online.ru/photo_book/11831250.jpg" TargetMode="External" Id="rId1228" /><Relationship Type="http://schemas.openxmlformats.org/officeDocument/2006/relationships/hyperlink" Target="http://torg.book-online.ru/photo_book/12197970.jpg" TargetMode="External" Id="rId1229" /><Relationship Type="http://schemas.openxmlformats.org/officeDocument/2006/relationships/hyperlink" Target="http://torg.book-online.ru/photo_book/11719170.jpg" TargetMode="External" Id="rId1230" /><Relationship Type="http://schemas.openxmlformats.org/officeDocument/2006/relationships/hyperlink" Target="http://torg.book-online.ru/photo_book/11541440.jpg" TargetMode="External" Id="rId1231" /><Relationship Type="http://schemas.openxmlformats.org/officeDocument/2006/relationships/hyperlink" Target="http://torg.book-online.ru/photo_book/12230870.jpg" TargetMode="External" Id="rId1232" /><Relationship Type="http://schemas.openxmlformats.org/officeDocument/2006/relationships/hyperlink" Target="http://torg.book-online.ru/photo_book/11964360.jpg" TargetMode="External" Id="rId1233" /><Relationship Type="http://schemas.openxmlformats.org/officeDocument/2006/relationships/hyperlink" Target="http://torg.book-online.ru/photo_book/11779550.jpg" TargetMode="External" Id="rId1234" /><Relationship Type="http://schemas.openxmlformats.org/officeDocument/2006/relationships/hyperlink" Target="http://torg.book-online.ru/photo_book/12256990.jpg" TargetMode="External" Id="rId1235" /><Relationship Type="http://schemas.openxmlformats.org/officeDocument/2006/relationships/hyperlink" Target="http://torg.book-online.ru/photo_book/11541490.jpg" TargetMode="External" Id="rId1236" /><Relationship Type="http://schemas.openxmlformats.org/officeDocument/2006/relationships/hyperlink" Target="http://torg.book-online.ru/photo_book/12082440.jpg" TargetMode="External" Id="rId1237" /><Relationship Type="http://schemas.openxmlformats.org/officeDocument/2006/relationships/hyperlink" Target="http://torg.book-online.ru/photo_book/11763970.jpg" TargetMode="External" Id="rId1238" /><Relationship Type="http://schemas.openxmlformats.org/officeDocument/2006/relationships/hyperlink" Target="http://torg.book-online.ru/photo_book/11618830.jpg" TargetMode="External" Id="rId1239" /><Relationship Type="http://schemas.openxmlformats.org/officeDocument/2006/relationships/hyperlink" Target="http://torg.book-online.ru/photo_book/11934620.jpg" TargetMode="External" Id="rId1240" /><Relationship Type="http://schemas.openxmlformats.org/officeDocument/2006/relationships/hyperlink" Target="http://torg.book-online.ru/photo_book/12039030.jpg" TargetMode="External" Id="rId1241" /><Relationship Type="http://schemas.openxmlformats.org/officeDocument/2006/relationships/hyperlink" Target="http://torg.book-online.ru/photo_book/11613560.jpg" TargetMode="External" Id="rId1242" /><Relationship Type="http://schemas.openxmlformats.org/officeDocument/2006/relationships/hyperlink" Target="http://torg.book-online.ru/photo_book/11916080.jpg" TargetMode="External" Id="rId1243" /><Relationship Type="http://schemas.openxmlformats.org/officeDocument/2006/relationships/hyperlink" Target="http://torg.book-online.ru/photo_book/11540990.jpg" TargetMode="External" Id="rId1244" /><Relationship Type="http://schemas.openxmlformats.org/officeDocument/2006/relationships/hyperlink" Target="http://torg.book-online.ru/photo_book/11541000.jpg" TargetMode="External" Id="rId1245" /><Relationship Type="http://schemas.openxmlformats.org/officeDocument/2006/relationships/hyperlink" Target="http://torg.book-online.ru/photo_book/11540960.jpg" TargetMode="External" Id="rId1246" /><Relationship Type="http://schemas.openxmlformats.org/officeDocument/2006/relationships/hyperlink" Target="http://torg.book-online.ru/photo_book/11540980.jpg" TargetMode="External" Id="rId1247" /><Relationship Type="http://schemas.openxmlformats.org/officeDocument/2006/relationships/hyperlink" Target="http://torg.book-online.ru/photo_book/11540950.jpg" TargetMode="External" Id="rId1248" /><Relationship Type="http://schemas.openxmlformats.org/officeDocument/2006/relationships/hyperlink" Target="http://torg.book-online.ru/photo_book/11540970.jpg" TargetMode="External" Id="rId1249" /><Relationship Type="http://schemas.openxmlformats.org/officeDocument/2006/relationships/hyperlink" Target="http://torg.book-online.ru/photo_book/11540940.jpg" TargetMode="External" Id="rId1250" /><Relationship Type="http://schemas.openxmlformats.org/officeDocument/2006/relationships/hyperlink" Target="http://torg.book-online.ru/photo_book/11688440.jpg" TargetMode="External" Id="rId1251" /><Relationship Type="http://schemas.openxmlformats.org/officeDocument/2006/relationships/hyperlink" Target="http://torg.book-online.ru/photo_book/11860020.jpg" TargetMode="External" Id="rId1252" /><Relationship Type="http://schemas.openxmlformats.org/officeDocument/2006/relationships/hyperlink" Target="http://torg.book-online.ru/photo_book/11540870.jpg" TargetMode="External" Id="rId1253" /><Relationship Type="http://schemas.openxmlformats.org/officeDocument/2006/relationships/hyperlink" Target="http://torg.book-online.ru/photo_book/11540880.jpg" TargetMode="External" Id="rId1254" /><Relationship Type="http://schemas.openxmlformats.org/officeDocument/2006/relationships/hyperlink" Target="http://torg.book-online.ru/photo_book/11859790.jpg" TargetMode="External" Id="rId1255" /><Relationship Type="http://schemas.openxmlformats.org/officeDocument/2006/relationships/hyperlink" Target="http://torg.book-online.ru/photo_book/11541040.jpg" TargetMode="External" Id="rId1256" /><Relationship Type="http://schemas.openxmlformats.org/officeDocument/2006/relationships/hyperlink" Target="http://torg.book-online.ru/photo_book/11540910.jpg" TargetMode="External" Id="rId1257" /><Relationship Type="http://schemas.openxmlformats.org/officeDocument/2006/relationships/hyperlink" Target="http://torg.book-online.ru/photo_book/11541110.jpg" TargetMode="External" Id="rId1258" /><Relationship Type="http://schemas.openxmlformats.org/officeDocument/2006/relationships/hyperlink" Target="http://torg.book-online.ru/photo_book/11694020.jpg" TargetMode="External" Id="rId1259" /><Relationship Type="http://schemas.openxmlformats.org/officeDocument/2006/relationships/hyperlink" Target="http://torg.book-online.ru/photo_book/11540890.jpg" TargetMode="External" Id="rId1260" /><Relationship Type="http://schemas.openxmlformats.org/officeDocument/2006/relationships/hyperlink" Target="http://torg.book-online.ru/photo_book/11541020.jpg" TargetMode="External" Id="rId1261" /><Relationship Type="http://schemas.openxmlformats.org/officeDocument/2006/relationships/hyperlink" Target="http://torg.book-online.ru/photo_book/11645090.jpg" TargetMode="External" Id="rId1262" /><Relationship Type="http://schemas.openxmlformats.org/officeDocument/2006/relationships/hyperlink" Target="http://torg.book-online.ru/photo_book/12027230.jpg" TargetMode="External" Id="rId1263" /><Relationship Type="http://schemas.openxmlformats.org/officeDocument/2006/relationships/hyperlink" Target="http://torg.book-online.ru/photo_book/12065040.jpg" TargetMode="External" Id="rId1264" /><Relationship Type="http://schemas.openxmlformats.org/officeDocument/2006/relationships/hyperlink" Target="http://torg.book-online.ru/photo_book/11541030.jpg" TargetMode="External" Id="rId1265" /><Relationship Type="http://schemas.openxmlformats.org/officeDocument/2006/relationships/hyperlink" Target="http://torg.book-online.ru/photo_book/11583120.jpg" TargetMode="External" Id="rId1266" /><Relationship Type="http://schemas.openxmlformats.org/officeDocument/2006/relationships/hyperlink" Target="http://torg.book-online.ru/photo_book/12107330.jpg" TargetMode="External" Id="rId1267" /><Relationship Type="http://schemas.openxmlformats.org/officeDocument/2006/relationships/hyperlink" Target="http://torg.book-online.ru/photo_book/12007180.jpg" TargetMode="External" Id="rId1268" /><Relationship Type="http://schemas.openxmlformats.org/officeDocument/2006/relationships/hyperlink" Target="http://torg.book-online.ru/photo_book/12269900.jpg" TargetMode="External" Id="rId1269" /><Relationship Type="http://schemas.openxmlformats.org/officeDocument/2006/relationships/hyperlink" Target="http://torg.book-online.ru/photo_book/12189370.jpg" TargetMode="External" Id="rId1270" /><Relationship Type="http://schemas.openxmlformats.org/officeDocument/2006/relationships/hyperlink" Target="http://torg.book-online.ru/photo_book/11541420.jpg" TargetMode="External" Id="rId1271" /><Relationship Type="http://schemas.openxmlformats.org/officeDocument/2006/relationships/hyperlink" Target="http://torg.book-online.ru/photo_book/11540730.jpg" TargetMode="External" Id="rId1272" /><Relationship Type="http://schemas.openxmlformats.org/officeDocument/2006/relationships/hyperlink" Target="http://torg.book-online.ru/photo_book/11541410.jpg" TargetMode="External" Id="rId1273" /><Relationship Type="http://schemas.openxmlformats.org/officeDocument/2006/relationships/hyperlink" Target="http://torg.book-online.ru/photo_book/11540720.jpg" TargetMode="External" Id="rId1274" /><Relationship Type="http://schemas.openxmlformats.org/officeDocument/2006/relationships/hyperlink" Target="http://torg.book-online.ru/photo_book/12107340.jpg" TargetMode="External" Id="rId1275" /><Relationship Type="http://schemas.openxmlformats.org/officeDocument/2006/relationships/hyperlink" Target="http://torg.book-online.ru/photo_book/11540740.jpg" TargetMode="External" Id="rId1276" /><Relationship Type="http://schemas.openxmlformats.org/officeDocument/2006/relationships/hyperlink" Target="http://torg.book-online.ru/photo_book/11541220.jpg" TargetMode="External" Id="rId1277" /><Relationship Type="http://schemas.openxmlformats.org/officeDocument/2006/relationships/hyperlink" Target="http://torg.book-online.ru/photo_book/12218080.jpg" TargetMode="External" Id="rId1278" /><Relationship Type="http://schemas.openxmlformats.org/officeDocument/2006/relationships/hyperlink" Target="http://torg.book-online.ru/photo_book/11541160.jpg" TargetMode="External" Id="rId1279" /><Relationship Type="http://schemas.openxmlformats.org/officeDocument/2006/relationships/hyperlink" Target="http://torg.book-online.ru/photo_book/12219130.jpg" TargetMode="External" Id="rId1280" /><Relationship Type="http://schemas.openxmlformats.org/officeDocument/2006/relationships/hyperlink" Target="http://torg.book-online.ru/photo_book/11541210.jpg" TargetMode="External" Id="rId1281" /><Relationship Type="http://schemas.openxmlformats.org/officeDocument/2006/relationships/hyperlink" Target="http://torg.book-online.ru/photo_book/11541200.jpg" TargetMode="External" Id="rId1282" /><Relationship Type="http://schemas.openxmlformats.org/officeDocument/2006/relationships/hyperlink" Target="http://torg.book-online.ru/photo_book/11541180.jpg" TargetMode="External" Id="rId1283" /><Relationship Type="http://schemas.openxmlformats.org/officeDocument/2006/relationships/hyperlink" Target="http://torg.book-online.ru/photo_book/11541190.jpg" TargetMode="External" Id="rId1284" /><Relationship Type="http://schemas.openxmlformats.org/officeDocument/2006/relationships/hyperlink" Target="http://torg.book-online.ru/photo_book/12082470.jpg" TargetMode="External" Id="rId1285" /><Relationship Type="http://schemas.openxmlformats.org/officeDocument/2006/relationships/hyperlink" Target="http://torg.book-online.ru/photo_book/12041910.jpg" TargetMode="External" Id="rId1286" /><Relationship Type="http://schemas.openxmlformats.org/officeDocument/2006/relationships/hyperlink" Target="http://torg.book-online.ru/photo_book/11837310.jpg" TargetMode="External" Id="rId1287" /><Relationship Type="http://schemas.openxmlformats.org/officeDocument/2006/relationships/hyperlink" Target="http://torg.book-online.ru/photo_book/11541170.jpg" TargetMode="External" Id="rId1288" /><Relationship Type="http://schemas.openxmlformats.org/officeDocument/2006/relationships/hyperlink" Target="http://torg.book-online.ru/photo_book/12257570.jpg" TargetMode="External" Id="rId1289" /><Relationship Type="http://schemas.openxmlformats.org/officeDocument/2006/relationships/hyperlink" Target="http://torg.book-online.ru/photo_book/11541400.jpg" TargetMode="External" Id="rId1290" /><Relationship Type="http://schemas.openxmlformats.org/officeDocument/2006/relationships/hyperlink" Target="http://torg.book-online.ru/photo_book/11558680.jpg" TargetMode="External" Id="rId1291" /><Relationship Type="http://schemas.openxmlformats.org/officeDocument/2006/relationships/hyperlink" Target="http://torg.book-online.ru/photo_book/11667500.jpg" TargetMode="External" Id="rId1292" /><Relationship Type="http://schemas.openxmlformats.org/officeDocument/2006/relationships/hyperlink" Target="http://torg.book-online.ru/photo_book/11833930.jpg" TargetMode="External" Id="rId1293" /><Relationship Type="http://schemas.openxmlformats.org/officeDocument/2006/relationships/hyperlink" Target="http://torg.book-online.ru/photo_book/11541370.jpg" TargetMode="External" Id="rId1294" /><Relationship Type="http://schemas.openxmlformats.org/officeDocument/2006/relationships/hyperlink" Target="http://torg.book-online.ru/photo_book/11541150.jpg" TargetMode="External" Id="rId1295" /><Relationship Type="http://schemas.openxmlformats.org/officeDocument/2006/relationships/hyperlink" Target="http://torg.book-online.ru/photo_book/11746770.jpg" TargetMode="External" Id="rId1296" /><Relationship Type="http://schemas.openxmlformats.org/officeDocument/2006/relationships/hyperlink" Target="http://torg.book-online.ru/photo_book/11673030.jpg" TargetMode="External" Id="rId1297" /><Relationship Type="http://schemas.openxmlformats.org/officeDocument/2006/relationships/hyperlink" Target="http://torg.book-online.ru/photo_book/11680590.jpg" TargetMode="External" Id="rId1298" /><Relationship Type="http://schemas.openxmlformats.org/officeDocument/2006/relationships/hyperlink" Target="http://torg.book-online.ru/photo_book/12228260.jpg" TargetMode="External" Id="rId1299" /><Relationship Type="http://schemas.openxmlformats.org/officeDocument/2006/relationships/hyperlink" Target="http://torg.book-online.ru/photo_book/11927010.jpg" TargetMode="External" Id="rId1300" /><Relationship Type="http://schemas.openxmlformats.org/officeDocument/2006/relationships/hyperlink" Target="http://torg.book-online.ru/photo_book/11541260.jpg" TargetMode="External" Id="rId1301" /><Relationship Type="http://schemas.openxmlformats.org/officeDocument/2006/relationships/hyperlink" Target="http://torg.book-online.ru/photo_book/11541050.jpg" TargetMode="External" Id="rId1302" /><Relationship Type="http://schemas.openxmlformats.org/officeDocument/2006/relationships/hyperlink" Target="http://torg.book-online.ru/photo_book/11567380.jpg" TargetMode="External" Id="rId1303" /><Relationship Type="http://schemas.openxmlformats.org/officeDocument/2006/relationships/hyperlink" Target="http://torg.book-online.ru/photo_book/12026990.jpg" TargetMode="External" Id="rId1304" /><Relationship Type="http://schemas.openxmlformats.org/officeDocument/2006/relationships/hyperlink" Target="http://torg.book-online.ru/photo_book/11575250.jpg" TargetMode="External" Id="rId1305" /><Relationship Type="http://schemas.openxmlformats.org/officeDocument/2006/relationships/hyperlink" Target="http://torg.book-online.ru/photo_book/11592320.jpg" TargetMode="External" Id="rId1306" /><Relationship Type="http://schemas.openxmlformats.org/officeDocument/2006/relationships/hyperlink" Target="http://torg.book-online.ru/photo_book/11935880.jpg" TargetMode="External" Id="rId1307" /><Relationship Type="http://schemas.openxmlformats.org/officeDocument/2006/relationships/hyperlink" Target="http://torg.book-online.ru/photo_book/12257000.jpg" TargetMode="External" Id="rId1308" /><Relationship Type="http://schemas.openxmlformats.org/officeDocument/2006/relationships/hyperlink" Target="http://torg.book-online.ru/photo_book/11591730.jpg" TargetMode="External" Id="rId1309" /><Relationship Type="http://schemas.openxmlformats.org/officeDocument/2006/relationships/hyperlink" Target="http://torg.book-online.ru/photo_book/12026520.jpg" TargetMode="External" Id="rId1310" /><Relationship Type="http://schemas.openxmlformats.org/officeDocument/2006/relationships/hyperlink" Target="http://torg.book-online.ru/photo_book/12136060.jpg" TargetMode="External" Id="rId1311" /><Relationship Type="http://schemas.openxmlformats.org/officeDocument/2006/relationships/hyperlink" Target="http://torg.book-online.ru/photo_book/12026570.jpg" TargetMode="External" Id="rId1312" /><Relationship Type="http://schemas.openxmlformats.org/officeDocument/2006/relationships/hyperlink" Target="http://torg.book-online.ru/photo_book/11848730.jpg" TargetMode="External" Id="rId1313" /><Relationship Type="http://schemas.openxmlformats.org/officeDocument/2006/relationships/hyperlink" Target="http://torg.book-online.ru/photo_book/11541090.jpg" TargetMode="External" Id="rId1314" /><Relationship Type="http://schemas.openxmlformats.org/officeDocument/2006/relationships/hyperlink" Target="http://torg.book-online.ru/photo_book/11575460.jpg" TargetMode="External" Id="rId1315" /><Relationship Type="http://schemas.openxmlformats.org/officeDocument/2006/relationships/hyperlink" Target="http://torg.book-online.ru/photo_book/12246030.jpg" TargetMode="External" Id="rId1316" /><Relationship Type="http://schemas.openxmlformats.org/officeDocument/2006/relationships/hyperlink" Target="http://torg.book-online.ru/photo_book/11541130.jpg" TargetMode="External" Id="rId1317" /><Relationship Type="http://schemas.openxmlformats.org/officeDocument/2006/relationships/hyperlink" Target="http://torg.book-online.ru/photo_book/11541070.jpg" TargetMode="External" Id="rId1318" /><Relationship Type="http://schemas.openxmlformats.org/officeDocument/2006/relationships/hyperlink" Target="http://torg.book-online.ru/photo_book/11575240.jpg" TargetMode="External" Id="rId1319" /><Relationship Type="http://schemas.openxmlformats.org/officeDocument/2006/relationships/hyperlink" Target="http://torg.book-online.ru/photo_book/12238370.jpg" TargetMode="External" Id="rId1320" /><Relationship Type="http://schemas.openxmlformats.org/officeDocument/2006/relationships/hyperlink" Target="http://torg.book-online.ru/photo_book/12067440.jpg" TargetMode="External" Id="rId1321" /><Relationship Type="http://schemas.openxmlformats.org/officeDocument/2006/relationships/hyperlink" Target="http://torg.book-online.ru/photo_book/12228320.jpg" TargetMode="External" Id="rId1322" /><Relationship Type="http://schemas.openxmlformats.org/officeDocument/2006/relationships/hyperlink" Target="http://torg.book-online.ru/photo_book/11541120.jpg" TargetMode="External" Id="rId1323" /><Relationship Type="http://schemas.openxmlformats.org/officeDocument/2006/relationships/hyperlink" Target="http://torg.book-online.ru/photo_book/12257580.jpg" TargetMode="External" Id="rId1324" /><Relationship Type="http://schemas.openxmlformats.org/officeDocument/2006/relationships/hyperlink" Target="http://torg.book-online.ru/photo_book/11865800.jpg" TargetMode="External" Id="rId1325" /><Relationship Type="http://schemas.openxmlformats.org/officeDocument/2006/relationships/hyperlink" Target="http://torg.book-online.ru/photo_book/11856820.jpg" TargetMode="External" Id="rId1326" /><Relationship Type="http://schemas.openxmlformats.org/officeDocument/2006/relationships/hyperlink" Target="http://torg.book-online.ru/photo_book/11541350.jpg" TargetMode="External" Id="rId1327" /><Relationship Type="http://schemas.openxmlformats.org/officeDocument/2006/relationships/hyperlink" Target="http://torg.book-online.ru/photo_book/11541380.jpg" TargetMode="External" Id="rId1328" /><Relationship Type="http://schemas.openxmlformats.org/officeDocument/2006/relationships/hyperlink" Target="http://torg.book-online.ru/photo_book/12041920.jpg" TargetMode="External" Id="rId1329" /><Relationship Type="http://schemas.openxmlformats.org/officeDocument/2006/relationships/hyperlink" Target="http://torg.book-online.ru/photo_book/12106510.jpg" TargetMode="External" Id="rId1330" /><Relationship Type="http://schemas.openxmlformats.org/officeDocument/2006/relationships/hyperlink" Target="http://torg.book-online.ru/photo_book/11541310.jpg" TargetMode="External" Id="rId1331" /><Relationship Type="http://schemas.openxmlformats.org/officeDocument/2006/relationships/hyperlink" Target="http://torg.book-online.ru/photo_book/11541270.jpg" TargetMode="External" Id="rId1332" /><Relationship Type="http://schemas.openxmlformats.org/officeDocument/2006/relationships/hyperlink" Target="http://torg.book-online.ru/photo_book/11803810.jpg" TargetMode="External" Id="rId1333" /><Relationship Type="http://schemas.openxmlformats.org/officeDocument/2006/relationships/hyperlink" Target="http://torg.book-online.ru/photo_book/12144050.jpg" TargetMode="External" Id="rId1334" /><Relationship Type="http://schemas.openxmlformats.org/officeDocument/2006/relationships/hyperlink" Target="http://torg.book-online.ru/photo_book/11541140.jpg" TargetMode="External" Id="rId1335" /><Relationship Type="http://schemas.openxmlformats.org/officeDocument/2006/relationships/hyperlink" Target="http://torg.book-online.ru/photo_book/9721210.jpg" TargetMode="External" Id="rId133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349"/>
  <sheetViews>
    <sheetView tabSelected="1" workbookViewId="0">
      <selection activeCell="E9" sqref="E9"/>
    </sheetView>
  </sheetViews>
  <sheetFormatPr baseColWidth="8" defaultRowHeight="15"/>
  <cols>
    <col width="1.7109375" customWidth="1" min="2" max="2"/>
    <col width="8" customWidth="1" min="3" max="3"/>
    <col width="29.28515625" customWidth="1" min="4" max="4"/>
    <col width="32.85546875" customWidth="1" min="5" max="5"/>
    <col width="5" customWidth="1" min="9" max="9"/>
    <col width="15.7109375" customWidth="1" min="10" max="12"/>
    <col width="4.28515625" customWidth="1" min="13" max="13"/>
    <col width="6.42578125" customWidth="1" min="14" max="15"/>
    <col width="14.5703125" customWidth="1" min="16" max="16"/>
    <col width="9.28515625" bestFit="1" customWidth="1" min="20" max="22"/>
    <col width="11.28515625" bestFit="1" customWidth="1" min="27" max="27"/>
    <col width="10.140625" bestFit="1" customWidth="1" min="33" max="33"/>
  </cols>
  <sheetData>
    <row r="1" ht="15.75" customHeight="1">
      <c r="A1" s="3" t="n"/>
      <c r="B1" s="3" t="n"/>
      <c r="C1" s="3" t="n"/>
      <c r="D1" s="3" t="n"/>
      <c r="E1" s="3" t="n"/>
      <c r="F1" s="3" t="n"/>
      <c r="G1" s="4" t="inlineStr">
        <is>
          <t>Актуальный прайс Рипол 12-10-26</t>
        </is>
      </c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</row>
    <row r="2">
      <c r="C2" s="2" t="inlineStr">
        <is>
          <t>Для правильной обработки</t>
        </is>
      </c>
      <c r="O2" s="6" t="inlineStr">
        <is>
          <t>Всего заказано на сумму:</t>
        </is>
      </c>
      <c r="P2" s="9">
        <f>SUMPRODUCT($P$6:$P$1355,$Q$6:$Q$1355)</f>
        <v/>
      </c>
    </row>
    <row r="3">
      <c r="C3" s="2" t="inlineStr">
        <is>
          <t>заказа, эту колонку лучше</t>
        </is>
      </c>
      <c r="E3" s="5" t="inlineStr">
        <is>
          <t>Укажите вашу скидку:</t>
        </is>
      </c>
      <c r="F3" s="10" t="n">
        <v>0</v>
      </c>
      <c r="O3" s="6" t="inlineStr">
        <is>
          <t>*) Новинки и допечатки выделены жирным шрифтом</t>
        </is>
      </c>
    </row>
    <row r="4">
      <c r="C4" s="2" t="inlineStr">
        <is>
          <t xml:space="preserve">НЕ ТРОГАТЬ !!! </t>
        </is>
      </c>
      <c r="O4" s="7" t="inlineStr">
        <is>
          <t>**) Просим Вас, количество заказанных книг указывать только в штуках</t>
        </is>
      </c>
    </row>
    <row r="5" ht="11.25" customFormat="1" customHeight="1" s="1">
      <c r="A5" s="11" t="inlineStr">
        <is>
          <t>Новинка</t>
        </is>
      </c>
      <c r="B5" s="11" t="inlineStr">
        <is>
          <t>Кат</t>
        </is>
      </c>
      <c r="C5" s="11" t="inlineStr">
        <is>
          <t>Код книги</t>
        </is>
      </c>
      <c r="D5" s="11" t="inlineStr">
        <is>
          <t>Серия</t>
        </is>
      </c>
      <c r="E5" s="11" t="inlineStr">
        <is>
          <t>Название</t>
        </is>
      </c>
      <c r="F5" s="11" t="inlineStr">
        <is>
          <t>Обложка</t>
        </is>
      </c>
      <c r="G5" s="11" t="inlineStr">
        <is>
          <t>Автор</t>
        </is>
      </c>
      <c r="H5" s="11" t="inlineStr">
        <is>
          <t>Формат</t>
        </is>
      </c>
      <c r="I5" s="11" t="inlineStr">
        <is>
          <t>Страниц</t>
        </is>
      </c>
      <c r="J5" s="11" t="inlineStr">
        <is>
          <t>Издательство</t>
        </is>
      </c>
      <c r="K5" s="11" t="inlineStr">
        <is>
          <t>Второе издательство</t>
        </is>
      </c>
      <c r="L5" s="11" t="inlineStr">
        <is>
          <t>Совметсный партнер</t>
        </is>
      </c>
      <c r="M5" s="11" t="inlineStr">
        <is>
          <t>Год</t>
        </is>
      </c>
      <c r="N5" s="11" t="inlineStr">
        <is>
          <t>Переплет</t>
        </is>
      </c>
      <c r="O5" s="11" t="inlineStr">
        <is>
          <t>Уп</t>
        </is>
      </c>
      <c r="P5" s="11" t="inlineStr">
        <is>
          <t>Цена</t>
        </is>
      </c>
      <c r="Q5" s="11" t="inlineStr">
        <is>
          <t>Заказ</t>
        </is>
      </c>
      <c r="R5" s="11" t="inlineStr">
        <is>
          <t>ISBN</t>
        </is>
      </c>
      <c r="S5" s="11" t="inlineStr">
        <is>
          <t>EAN</t>
        </is>
      </c>
      <c r="T5" s="11" t="inlineStr">
        <is>
          <t>НДС</t>
        </is>
      </c>
      <c r="U5" s="11" t="inlineStr">
        <is>
          <t>ЦенаБНДС</t>
        </is>
      </c>
      <c r="V5" s="11" t="inlineStr">
        <is>
          <t>Вес</t>
        </is>
      </c>
      <c r="W5" s="11" t="inlineStr">
        <is>
          <t>КодКТК</t>
        </is>
      </c>
      <c r="X5" s="11" t="inlineStr">
        <is>
          <t>КТК</t>
        </is>
      </c>
      <c r="Y5" s="11" t="inlineStr">
        <is>
          <t>Полное название</t>
        </is>
      </c>
      <c r="Z5" s="11" t="inlineStr">
        <is>
          <t>Ограничение возраста</t>
        </is>
      </c>
      <c r="AA5" s="11" t="inlineStr">
        <is>
          <t>Дата первого поступления</t>
        </is>
      </c>
      <c r="AB5" s="11" t="inlineStr">
        <is>
          <t>Раздел</t>
        </is>
      </c>
      <c r="AC5" s="11" t="inlineStr">
        <is>
          <t>Тематика</t>
        </is>
      </c>
      <c r="AD5" s="11" t="inlineStr">
        <is>
          <t>СубТема</t>
        </is>
      </c>
      <c r="AE5" s="11" t="inlineStr">
        <is>
          <t>Тип бумаги</t>
        </is>
      </c>
      <c r="AF5" s="11" t="inlineStr">
        <is>
          <t>Аннотация</t>
        </is>
      </c>
      <c r="AG5" s="11" t="inlineStr">
        <is>
          <t>КодКн</t>
        </is>
      </c>
      <c r="AH5" s="11" t="inlineStr">
        <is>
          <t>Гриф</t>
        </is>
      </c>
      <c r="AI5" s="11" t="inlineStr">
        <is>
          <t>ТНВЭД</t>
        </is>
      </c>
      <c r="AJ5" s="11" t="inlineStr">
        <is>
          <t>Запретные вещества</t>
        </is>
      </c>
    </row>
    <row r="6" ht="18" customFormat="1" customHeight="1" s="16">
      <c r="B6" s="16" t="inlineStr">
        <is>
          <t>Жанр: Книги издательства "Рипол Классик"</t>
        </is>
      </c>
      <c r="O6" s="25" t="n"/>
      <c r="T6" s="25" t="n"/>
    </row>
    <row r="7" customFormat="1" s="1">
      <c r="C7" s="1" t="inlineStr">
        <is>
          <t xml:space="preserve">11509670            </t>
        </is>
      </c>
      <c r="E7" s="1" t="inlineStr">
        <is>
          <t>300 лет Российской Прокуратуры. 3-е изд. Звягинцев А.Г.</t>
        </is>
      </c>
      <c r="F7" s="13" t="inlineStr">
        <is>
          <t>См.обл.</t>
        </is>
      </c>
      <c r="G7" s="1" t="inlineStr">
        <is>
          <t>Звягинцев А.Г.</t>
        </is>
      </c>
      <c r="H7" s="1" t="inlineStr">
        <is>
          <t>60х90/8</t>
        </is>
      </c>
      <c r="I7" s="1" t="n">
        <v>640</v>
      </c>
      <c r="J7" s="1" t="inlineStr">
        <is>
          <t>РИПОЛ Классик</t>
        </is>
      </c>
      <c r="M7" s="1" t="inlineStr">
        <is>
          <t>2025</t>
        </is>
      </c>
      <c r="N7" s="1" t="inlineStr">
        <is>
          <t>П</t>
        </is>
      </c>
      <c r="O7" s="9" t="n">
        <v>2</v>
      </c>
      <c r="P7" s="1">
        <f>ROUNDUP(6700*(1-$F$3),2)</f>
        <v/>
      </c>
      <c r="Q7" s="1" t="inlineStr">
        <is>
          <t> </t>
        </is>
      </c>
      <c r="R7" s="1" t="inlineStr">
        <is>
          <t>978-5-386-15356-4</t>
        </is>
      </c>
      <c r="S7" s="1" t="inlineStr">
        <is>
          <t>9785386153564</t>
        </is>
      </c>
      <c r="T7" s="9" t="n">
        <v>10</v>
      </c>
      <c r="U7" s="1">
        <f>ROUNDUP(6090.91*(1-$F$3),2)</f>
        <v/>
      </c>
      <c r="V7" s="1" t="n">
        <v>2566</v>
      </c>
      <c r="Y7" s="1" t="inlineStr">
        <is>
          <t>300 лет Российской Прокуратуры. 3-е изд</t>
        </is>
      </c>
      <c r="Z7" s="1" t="inlineStr">
        <is>
          <t>16+</t>
        </is>
      </c>
      <c r="AA7" s="12" t="n">
        <v>45602</v>
      </c>
      <c r="AB7" s="1" t="inlineStr">
        <is>
          <t>Право. Юридические науки</t>
        </is>
      </c>
      <c r="AC7" s="1" t="inlineStr">
        <is>
          <t>Правоохранительные органы</t>
        </is>
      </c>
      <c r="AD7" s="1" t="inlineStr">
        <is>
          <t>Прокуратура</t>
        </is>
      </c>
      <c r="AE7" s="1" t="inlineStr">
        <is>
          <t>мелованная</t>
        </is>
      </c>
      <c r="AG7" s="1" t="n">
        <v>11509670</v>
      </c>
      <c r="AI7" s="1" t="inlineStr">
        <is>
          <t>4901990000</t>
        </is>
      </c>
    </row>
    <row r="8" customFormat="1" s="11">
      <c r="A8" s="11" t="inlineStr">
        <is>
          <t>нов</t>
        </is>
      </c>
      <c r="C8" s="11" t="inlineStr">
        <is>
          <t xml:space="preserve">12245580            </t>
        </is>
      </c>
      <c r="E8" s="11" t="inlineStr">
        <is>
          <t>5000 лет таможни и контрабанды. Драганов В.</t>
        </is>
      </c>
      <c r="F8" s="14" t="inlineStr">
        <is>
          <t>См.обл.</t>
        </is>
      </c>
      <c r="G8" s="11" t="inlineStr">
        <is>
          <t>Драганов В.</t>
        </is>
      </c>
      <c r="H8" s="11" t="inlineStr">
        <is>
          <t>60х90/16</t>
        </is>
      </c>
      <c r="I8" s="11" t="n">
        <v>432</v>
      </c>
      <c r="J8" s="11" t="inlineStr">
        <is>
          <t>РИПОЛ Классик</t>
        </is>
      </c>
      <c r="M8" s="11" t="inlineStr">
        <is>
          <t>2027</t>
        </is>
      </c>
      <c r="N8" s="11" t="inlineStr">
        <is>
          <t>П</t>
        </is>
      </c>
      <c r="O8" s="26" t="n"/>
      <c r="P8" s="11">
        <f>ROUNDUP(1190*(1-$F$3),2)</f>
        <v/>
      </c>
      <c r="Q8" s="11" t="inlineStr">
        <is>
          <t> </t>
        </is>
      </c>
      <c r="R8" s="11" t="inlineStr">
        <is>
          <t>978-5-386-15688-6</t>
        </is>
      </c>
      <c r="S8" s="11" t="inlineStr">
        <is>
          <t>9785386156886</t>
        </is>
      </c>
      <c r="T8" s="26" t="n">
        <v>22</v>
      </c>
      <c r="U8" s="11">
        <f>ROUNDUP(975.41*(1-$F$3),2)</f>
        <v/>
      </c>
      <c r="V8" s="11" t="n">
        <v>603</v>
      </c>
      <c r="Y8" s="11" t="inlineStr">
        <is>
          <t>5000 лет таможни и контрабанды</t>
        </is>
      </c>
      <c r="Z8" s="11" t="inlineStr">
        <is>
          <t>18+</t>
        </is>
      </c>
      <c r="AA8" s="15" t="n">
        <v>46254</v>
      </c>
      <c r="AB8" s="11" t="inlineStr">
        <is>
          <t>Гуманитарные науки</t>
        </is>
      </c>
      <c r="AC8" s="11" t="inlineStr">
        <is>
          <t>История</t>
        </is>
      </c>
      <c r="AD8" s="11" t="inlineStr">
        <is>
          <t>Общие вопросы. Историография</t>
        </is>
      </c>
      <c r="AE8" s="11" t="inlineStr">
        <is>
          <t>офсетная</t>
        </is>
      </c>
      <c r="AG8" s="11" t="n">
        <v>12245580</v>
      </c>
      <c r="AI8" s="11" t="inlineStr">
        <is>
          <t>4901990000</t>
        </is>
      </c>
      <c r="AJ8" s="11" t="inlineStr">
        <is>
          <t>Зпв</t>
        </is>
      </c>
    </row>
    <row r="9" customFormat="1" s="1">
      <c r="C9" s="1" t="inlineStr">
        <is>
          <t xml:space="preserve">12207950            </t>
        </is>
      </c>
      <c r="E9" s="1" t="inlineStr">
        <is>
          <t>Familia. Две женщины, две правды, одна тайна. Рико Л.Э</t>
        </is>
      </c>
      <c r="F9" s="13" t="inlineStr">
        <is>
          <t>См.обл.</t>
        </is>
      </c>
      <c r="G9" s="1" t="inlineStr">
        <is>
          <t>Рико Л.Э</t>
        </is>
      </c>
      <c r="H9" s="1" t="inlineStr">
        <is>
          <t>60х90/16</t>
        </is>
      </c>
      <c r="I9" s="1" t="n">
        <v>528</v>
      </c>
      <c r="J9" s="1" t="inlineStr">
        <is>
          <t>РИПОЛ Классик</t>
        </is>
      </c>
      <c r="M9" s="1" t="inlineStr">
        <is>
          <t>2026</t>
        </is>
      </c>
      <c r="N9" s="1" t="inlineStr">
        <is>
          <t>П</t>
        </is>
      </c>
      <c r="O9" s="9" t="n">
        <v>8</v>
      </c>
      <c r="P9" s="1">
        <f>ROUNDUP(1290*(1-$F$3),2)</f>
        <v/>
      </c>
      <c r="Q9" s="1" t="inlineStr">
        <is>
          <t> </t>
        </is>
      </c>
      <c r="R9" s="1" t="inlineStr">
        <is>
          <t>978-5-386-15546-9</t>
        </is>
      </c>
      <c r="S9" s="1" t="inlineStr">
        <is>
          <t>9785386155469</t>
        </is>
      </c>
      <c r="T9" s="9" t="n">
        <v>22</v>
      </c>
      <c r="U9" s="1">
        <f>ROUNDUP(1057.38*(1-$F$3),2)</f>
        <v/>
      </c>
      <c r="V9" s="1" t="n">
        <v>618</v>
      </c>
      <c r="Y9" s="1" t="inlineStr">
        <is>
          <t>Familia. Две женщины, две правды, одна тайна</t>
        </is>
      </c>
      <c r="Z9" s="1" t="inlineStr">
        <is>
          <t>18+</t>
        </is>
      </c>
      <c r="AA9" s="12" t="n">
        <v>46217</v>
      </c>
      <c r="AB9" s="1" t="inlineStr">
        <is>
          <t>Художественная литература</t>
        </is>
      </c>
      <c r="AC9" s="1" t="inlineStr">
        <is>
          <t>Зарубежная литература</t>
        </is>
      </c>
      <c r="AD9" s="1" t="inlineStr">
        <is>
          <t>Литература Америки и Австралии</t>
        </is>
      </c>
      <c r="AE9" s="1" t="inlineStr">
        <is>
          <t>офсетная</t>
        </is>
      </c>
      <c r="AG9" s="1" t="n">
        <v>12207950</v>
      </c>
      <c r="AI9" s="1" t="inlineStr">
        <is>
          <t>4901990000</t>
        </is>
      </c>
      <c r="AJ9" s="1" t="inlineStr">
        <is>
          <t>Зпв</t>
        </is>
      </c>
    </row>
    <row r="10" customFormat="1" s="1">
      <c r="C10" s="1" t="inlineStr">
        <is>
          <t xml:space="preserve">12238330            </t>
        </is>
      </c>
      <c r="E10" s="1" t="inlineStr">
        <is>
          <t>Айкидо с таможней. Как сохранить товар и деньги в мире внешнеэкономических отношений. Курочкина О.Л</t>
        </is>
      </c>
      <c r="F10" s="13" t="inlineStr">
        <is>
          <t>См.обл.</t>
        </is>
      </c>
      <c r="G10" s="1" t="inlineStr">
        <is>
          <t>Курочкина О.Л</t>
        </is>
      </c>
      <c r="H10" s="1" t="inlineStr">
        <is>
          <t>60х90/16</t>
        </is>
      </c>
      <c r="I10" s="1" t="n">
        <v>150</v>
      </c>
      <c r="J10" s="1" t="inlineStr">
        <is>
          <t>РИПОЛ Классик</t>
        </is>
      </c>
      <c r="M10" s="1" t="inlineStr">
        <is>
          <t>2026</t>
        </is>
      </c>
      <c r="N10" s="1" t="inlineStr">
        <is>
          <t>П</t>
        </is>
      </c>
      <c r="O10" s="9" t="n">
        <v>10</v>
      </c>
      <c r="P10" s="1">
        <f>ROUNDUP(990*(1-$F$3),2)</f>
        <v/>
      </c>
      <c r="Q10" s="1" t="inlineStr">
        <is>
          <t> </t>
        </is>
      </c>
      <c r="R10" s="1" t="inlineStr">
        <is>
          <t>978-5-386-15573-5</t>
        </is>
      </c>
      <c r="S10" s="1" t="inlineStr">
        <is>
          <t>9785386155735</t>
        </is>
      </c>
      <c r="T10" s="9" t="n">
        <v>10</v>
      </c>
      <c r="U10" s="1">
        <f>ROUNDUP(900*(1-$F$3),2)</f>
        <v/>
      </c>
      <c r="V10" s="1" t="n">
        <v>303</v>
      </c>
      <c r="Y10" s="1" t="inlineStr">
        <is>
          <t>Айкидо с таможней. Как сохранить товар и деньги в мире внешнеэкономических отношений</t>
        </is>
      </c>
      <c r="Z10" s="1" t="inlineStr">
        <is>
          <t>12+</t>
        </is>
      </c>
      <c r="AA10" s="12" t="n">
        <v>46247</v>
      </c>
      <c r="AB10" s="1" t="inlineStr">
        <is>
          <t>Экономика. Экономические науки</t>
        </is>
      </c>
      <c r="AC10" s="1" t="inlineStr">
        <is>
          <t>Внешнеэкономическая деятельность</t>
        </is>
      </c>
      <c r="AD10" s="1" t="inlineStr">
        <is>
          <t>Таможенное дело</t>
        </is>
      </c>
      <c r="AE10" s="1" t="inlineStr">
        <is>
          <t>офсетная</t>
        </is>
      </c>
      <c r="AG10" s="1" t="n">
        <v>12238330</v>
      </c>
      <c r="AI10" s="1" t="inlineStr">
        <is>
          <t>4901990000</t>
        </is>
      </c>
    </row>
    <row r="11" customFormat="1" s="11">
      <c r="A11" s="11" t="inlineStr">
        <is>
          <t>нов</t>
        </is>
      </c>
      <c r="C11" s="11" t="inlineStr">
        <is>
          <t xml:space="preserve">12277860            </t>
        </is>
      </c>
      <c r="E11" s="11" t="inlineStr">
        <is>
          <t>Алхимия пути. Георгиева С</t>
        </is>
      </c>
      <c r="F11" s="14" t="inlineStr">
        <is>
          <t>См.обл.</t>
        </is>
      </c>
      <c r="G11" s="11" t="inlineStr">
        <is>
          <t>Георгиева С</t>
        </is>
      </c>
      <c r="H11" s="11" t="inlineStr">
        <is>
          <t>84х108/32</t>
        </is>
      </c>
      <c r="I11" s="11" t="n">
        <v>184</v>
      </c>
      <c r="J11" s="11" t="inlineStr">
        <is>
          <t>РИПОЛ Классик</t>
        </is>
      </c>
      <c r="M11" s="11" t="inlineStr">
        <is>
          <t>2027</t>
        </is>
      </c>
      <c r="N11" s="11" t="inlineStr">
        <is>
          <t>П</t>
        </is>
      </c>
      <c r="O11" s="26" t="n">
        <v>12</v>
      </c>
      <c r="P11" s="11">
        <f>ROUNDUP(960*(1-$F$3),2)</f>
        <v/>
      </c>
      <c r="Q11" s="11" t="inlineStr">
        <is>
          <t> </t>
        </is>
      </c>
      <c r="R11" s="11" t="inlineStr">
        <is>
          <t>978-5-386-15736-4</t>
        </is>
      </c>
      <c r="S11" s="11" t="inlineStr">
        <is>
          <t>9785386157364</t>
        </is>
      </c>
      <c r="T11" s="26" t="n">
        <v>10</v>
      </c>
      <c r="U11" s="11">
        <f>ROUNDUP(872.73*(1-$F$3),2)</f>
        <v/>
      </c>
      <c r="V11" s="11" t="n">
        <v>279</v>
      </c>
      <c r="Y11" s="11" t="inlineStr">
        <is>
          <t>Алхимия пути</t>
        </is>
      </c>
      <c r="Z11" s="11" t="inlineStr">
        <is>
          <t>16+</t>
        </is>
      </c>
      <c r="AA11" s="15" t="n">
        <v>46288</v>
      </c>
      <c r="AB11" s="11" t="inlineStr">
        <is>
          <t>Религии. Эзотерика. Оккультизм</t>
        </is>
      </c>
      <c r="AC11" s="11" t="inlineStr">
        <is>
          <t>Эзотерика. Парапсихология. Тайны</t>
        </is>
      </c>
      <c r="AD11" s="11" t="inlineStr">
        <is>
          <t>Духовные практики</t>
        </is>
      </c>
      <c r="AE11" s="11" t="inlineStr">
        <is>
          <t>офсетная</t>
        </is>
      </c>
      <c r="AG11" s="11" t="n">
        <v>12277860</v>
      </c>
      <c r="AI11" s="11" t="inlineStr">
        <is>
          <t>4901990000</t>
        </is>
      </c>
    </row>
    <row r="12" customFormat="1" s="1">
      <c r="C12" s="1" t="inlineStr">
        <is>
          <t xml:space="preserve">11962340            </t>
        </is>
      </c>
      <c r="E12" s="1" t="inlineStr">
        <is>
          <t>Ангелы из Зюзино. Френкель А.Р</t>
        </is>
      </c>
      <c r="F12" s="13" t="inlineStr">
        <is>
          <t>См.обл.</t>
        </is>
      </c>
      <c r="G12" s="1" t="inlineStr">
        <is>
          <t>Френкель А.Р</t>
        </is>
      </c>
      <c r="H12" s="1" t="inlineStr">
        <is>
          <t>60х90/16</t>
        </is>
      </c>
      <c r="I12" s="1" t="n">
        <v>384</v>
      </c>
      <c r="J12" s="1" t="inlineStr">
        <is>
          <t>РИПОЛ Классик</t>
        </is>
      </c>
      <c r="M12" s="1" t="inlineStr">
        <is>
          <t>2026</t>
        </is>
      </c>
      <c r="N12" s="1" t="inlineStr">
        <is>
          <t>П</t>
        </is>
      </c>
      <c r="O12" s="9" t="n">
        <v>10</v>
      </c>
      <c r="P12" s="1">
        <f>ROUNDUP(1210*(1-$F$3),2)</f>
        <v/>
      </c>
      <c r="Q12" s="1" t="inlineStr">
        <is>
          <t> </t>
        </is>
      </c>
      <c r="R12" s="1" t="inlineStr">
        <is>
          <t>978-5-386-15566-7</t>
        </is>
      </c>
      <c r="S12" s="1" t="inlineStr">
        <is>
          <t>9785386155667</t>
        </is>
      </c>
      <c r="T12" s="9" t="n">
        <v>22</v>
      </c>
      <c r="U12" s="1">
        <f>ROUNDUP(991.8*(1-$F$3),2)</f>
        <v/>
      </c>
      <c r="V12" s="1" t="n">
        <v>555</v>
      </c>
      <c r="Y12" s="1" t="inlineStr">
        <is>
          <t>Ангелы из Зюзино</t>
        </is>
      </c>
      <c r="Z12" s="1" t="inlineStr">
        <is>
          <t>18+</t>
        </is>
      </c>
      <c r="AA12" s="12" t="n">
        <v>45993</v>
      </c>
      <c r="AB12" s="1" t="inlineStr">
        <is>
          <t>Художественная литература</t>
        </is>
      </c>
      <c r="AC12" s="1" t="inlineStr">
        <is>
          <t>Русская литература</t>
        </is>
      </c>
      <c r="AD12" s="1" t="inlineStr">
        <is>
          <t>Современная литература</t>
        </is>
      </c>
      <c r="AE12" s="1" t="inlineStr">
        <is>
          <t>офсетная</t>
        </is>
      </c>
      <c r="AG12" s="1" t="n">
        <v>11962340</v>
      </c>
      <c r="AI12" s="1" t="inlineStr">
        <is>
          <t>4901990000</t>
        </is>
      </c>
    </row>
    <row r="13" customFormat="1" s="1">
      <c r="C13" s="1" t="inlineStr">
        <is>
          <t xml:space="preserve">12054140            </t>
        </is>
      </c>
      <c r="E13" s="1" t="inlineStr">
        <is>
          <t>Анти-венчур. Как работает финансирование стартапов в США и почему на смену венчурому капиталу приходят новые модели. Роббинс В</t>
        </is>
      </c>
      <c r="F13" s="13" t="inlineStr">
        <is>
          <t>См.обл.</t>
        </is>
      </c>
      <c r="G13" s="1" t="inlineStr">
        <is>
          <t>Роббинс В</t>
        </is>
      </c>
      <c r="H13" s="1" t="inlineStr">
        <is>
          <t>70х100/16</t>
        </is>
      </c>
      <c r="I13" s="1" t="n">
        <v>480</v>
      </c>
      <c r="J13" s="1" t="inlineStr">
        <is>
          <t>РИПОЛ Классик</t>
        </is>
      </c>
      <c r="M13" s="1" t="inlineStr">
        <is>
          <t>2026</t>
        </is>
      </c>
      <c r="N13" s="1" t="inlineStr">
        <is>
          <t>П</t>
        </is>
      </c>
      <c r="O13" s="9" t="n">
        <v>5</v>
      </c>
      <c r="P13" s="1">
        <f>ROUNDUP(1450*(1-$F$3),2)</f>
        <v/>
      </c>
      <c r="Q13" s="1" t="inlineStr">
        <is>
          <t> </t>
        </is>
      </c>
      <c r="R13" s="1" t="inlineStr">
        <is>
          <t>978-5-386-15543-8</t>
        </is>
      </c>
      <c r="S13" s="1" t="inlineStr">
        <is>
          <t>9785386155438</t>
        </is>
      </c>
      <c r="T13" s="9" t="n">
        <v>10</v>
      </c>
      <c r="U13" s="1">
        <f>ROUNDUP(1318.18*(1-$F$3),2)</f>
        <v/>
      </c>
      <c r="V13" s="1" t="n">
        <v>769</v>
      </c>
      <c r="Y13" s="1" t="inlineStr">
        <is>
          <t>Анти-венчур. Как работает финансирование стартапов в США и почему на смену венчурому капиталу приходят новые модели</t>
        </is>
      </c>
      <c r="Z13" s="1" t="inlineStr">
        <is>
          <t>16+</t>
        </is>
      </c>
      <c r="AA13" s="12" t="n">
        <v>46098</v>
      </c>
      <c r="AB13" s="1" t="inlineStr">
        <is>
          <t>Экономика. Экономические науки</t>
        </is>
      </c>
      <c r="AC13" s="1" t="inlineStr">
        <is>
          <t>Экономика</t>
        </is>
      </c>
      <c r="AD13" s="1" t="inlineStr">
        <is>
          <t>Экономика зарубежных стран</t>
        </is>
      </c>
      <c r="AE13" s="1" t="inlineStr">
        <is>
          <t>офсетная</t>
        </is>
      </c>
      <c r="AG13" s="1" t="n">
        <v>12054140</v>
      </c>
      <c r="AI13" s="1" t="inlineStr">
        <is>
          <t>4901990000</t>
        </is>
      </c>
    </row>
    <row r="14" customFormat="1" s="1">
      <c r="C14" s="1" t="inlineStr">
        <is>
          <t>11657470</t>
        </is>
      </c>
      <c r="E14" s="1" t="inlineStr">
        <is>
          <t>Анти-Эдип. Капитализм и Шизофрения: Т. 1; Тысяча плато. Капитализм и Шизофрения: Т. 2 (комплект из 2-х книг). Делез Ж., Гваттари П.-Ф</t>
        </is>
      </c>
      <c r="F14" s="13" t="inlineStr">
        <is>
          <t>См.обл.</t>
        </is>
      </c>
      <c r="G14" s="1" t="inlineStr">
        <is>
          <t>Делез Ж., Гваттари П.-Ф</t>
        </is>
      </c>
      <c r="H14" s="1" t="inlineStr">
        <is>
          <t>70х100/16</t>
        </is>
      </c>
      <c r="I14" s="1" t="n">
        <v>1280</v>
      </c>
      <c r="J14" s="1" t="inlineStr">
        <is>
          <t>РИПОЛ Классик</t>
        </is>
      </c>
      <c r="M14" s="1" t="inlineStr">
        <is>
          <t>2025</t>
        </is>
      </c>
      <c r="N14" s="1" t="inlineStr">
        <is>
          <t>П</t>
        </is>
      </c>
      <c r="O14" s="9" t="n"/>
      <c r="P14" s="1">
        <f>ROUNDUP(3762*(1-$F$3),2)</f>
        <v/>
      </c>
      <c r="Q14" s="1" t="inlineStr">
        <is>
          <t> </t>
        </is>
      </c>
      <c r="R14" s="1" t="inlineStr">
        <is>
          <t>978-5-521-84451-7</t>
        </is>
      </c>
      <c r="S14" s="1" t="inlineStr">
        <is>
          <t>9785521844517</t>
        </is>
      </c>
      <c r="T14" s="9" t="n">
        <v>22</v>
      </c>
      <c r="U14" s="1">
        <f>ROUNDUP(3083.61*(1-$F$3),2)</f>
        <v/>
      </c>
      <c r="V14" s="1" t="n">
        <v>1901</v>
      </c>
      <c r="Y14" s="1" t="inlineStr">
        <is>
          <t>Анти-Эдип. Капитализм и Шизофрения: Т. 1; Тысяча плато. Капитализм и Шизофрения: Т. 2 (комплект из 2-х книг)</t>
        </is>
      </c>
      <c r="Z14" s="1" t="inlineStr">
        <is>
          <t>18+</t>
        </is>
      </c>
      <c r="AA14" s="12" t="n">
        <v>45701</v>
      </c>
      <c r="AB14" s="1" t="inlineStr">
        <is>
          <t>Гуманитарные науки</t>
        </is>
      </c>
      <c r="AC14" s="1" t="inlineStr">
        <is>
          <t>Философские науки</t>
        </is>
      </c>
      <c r="AD14" s="1" t="inlineStr">
        <is>
          <t>Прикладная философия</t>
        </is>
      </c>
      <c r="AE14" s="1" t="inlineStr">
        <is>
          <t>офсетная</t>
        </is>
      </c>
      <c r="AG14" s="1" t="n">
        <v>11657470</v>
      </c>
      <c r="AI14" s="1" t="inlineStr">
        <is>
          <t>4901990000</t>
        </is>
      </c>
    </row>
    <row r="15" customFormat="1" s="1">
      <c r="C15" s="1" t="inlineStr">
        <is>
          <t xml:space="preserve">12106540            </t>
        </is>
      </c>
      <c r="E15" s="1" t="inlineStr">
        <is>
          <t>Аутизм. Просто о сложном от практикующего врача. Руководство для родителей и коррекционных специалистов. Пискунов М.</t>
        </is>
      </c>
      <c r="F15" s="13" t="inlineStr">
        <is>
          <t>См.обл.</t>
        </is>
      </c>
      <c r="G15" s="1" t="inlineStr">
        <is>
          <t>Пискунов М.</t>
        </is>
      </c>
      <c r="H15" s="1" t="inlineStr">
        <is>
          <t>60х90/16</t>
        </is>
      </c>
      <c r="I15" s="1" t="n">
        <v>272</v>
      </c>
      <c r="J15" s="1" t="inlineStr">
        <is>
          <t>РИПОЛ Классик</t>
        </is>
      </c>
      <c r="M15" s="1" t="inlineStr">
        <is>
          <t>2026</t>
        </is>
      </c>
      <c r="N15" s="1" t="inlineStr">
        <is>
          <t>П</t>
        </is>
      </c>
      <c r="O15" s="9" t="n">
        <v>10</v>
      </c>
      <c r="P15" s="1">
        <f>ROUNDUP(1100*(1-$F$3),2)</f>
        <v/>
      </c>
      <c r="Q15" s="1" t="inlineStr">
        <is>
          <t> </t>
        </is>
      </c>
      <c r="R15" s="1" t="inlineStr">
        <is>
          <t>978-5-386-15582-7</t>
        </is>
      </c>
      <c r="S15" s="1" t="inlineStr">
        <is>
          <t>9785386155827</t>
        </is>
      </c>
      <c r="T15" s="9" t="n">
        <v>10</v>
      </c>
      <c r="U15" s="1">
        <f>ROUNDUP(1000*(1-$F$3),2)</f>
        <v/>
      </c>
      <c r="V15" s="1" t="n">
        <v>371</v>
      </c>
      <c r="Y15" s="1" t="inlineStr">
        <is>
          <t>Аутизм. Просто о сложном от практикующего врача. Руководство для родителей и коррекционных специалистов</t>
        </is>
      </c>
      <c r="Z15" s="1" t="inlineStr">
        <is>
          <t>16+</t>
        </is>
      </c>
      <c r="AA15" s="12" t="n">
        <v>46147</v>
      </c>
      <c r="AB15" s="1" t="inlineStr">
        <is>
          <t>Общественные науки</t>
        </is>
      </c>
      <c r="AC15" s="1" t="inlineStr">
        <is>
          <t>Педагогика</t>
        </is>
      </c>
      <c r="AD15" s="1" t="inlineStr">
        <is>
          <t>Коррекционная педагогика. Дефектология</t>
        </is>
      </c>
      <c r="AE15" s="1" t="inlineStr">
        <is>
          <t>офсетная</t>
        </is>
      </c>
      <c r="AG15" s="1" t="n">
        <v>12106540</v>
      </c>
      <c r="AI15" s="1" t="inlineStr">
        <is>
          <t>4901990000</t>
        </is>
      </c>
    </row>
    <row r="16" customFormat="1" s="1">
      <c r="C16" s="1" t="inlineStr">
        <is>
          <t xml:space="preserve">11792080            </t>
        </is>
      </c>
      <c r="E16" s="1" t="inlineStr">
        <is>
          <t>Бахыт Кенжеев. Избранное. 1972-2022. Кенжеев Б.Ш.</t>
        </is>
      </c>
      <c r="F16" s="13" t="inlineStr">
        <is>
          <t>См.обл.</t>
        </is>
      </c>
      <c r="G16" s="1" t="inlineStr">
        <is>
          <t>Кенжеев Б.Ш.</t>
        </is>
      </c>
      <c r="H16" s="1" t="inlineStr">
        <is>
          <t>60х90/16</t>
        </is>
      </c>
      <c r="I16" s="1" t="n">
        <v>528</v>
      </c>
      <c r="J16" s="1" t="inlineStr">
        <is>
          <t>РИПОЛ Классик</t>
        </is>
      </c>
      <c r="M16" s="1" t="inlineStr">
        <is>
          <t>2025</t>
        </is>
      </c>
      <c r="N16" s="1" t="inlineStr">
        <is>
          <t>П</t>
        </is>
      </c>
      <c r="O16" s="9" t="n">
        <v>4</v>
      </c>
      <c r="P16" s="1">
        <f>ROUNDUP(1730*(1-$F$3),2)</f>
        <v/>
      </c>
      <c r="Q16" s="1" t="inlineStr">
        <is>
          <t> </t>
        </is>
      </c>
      <c r="R16" s="1" t="inlineStr">
        <is>
          <t>978-5-386-15455-4</t>
        </is>
      </c>
      <c r="S16" s="1" t="inlineStr">
        <is>
          <t>9785386154554</t>
        </is>
      </c>
      <c r="T16" s="9" t="n">
        <v>10</v>
      </c>
      <c r="U16" s="1">
        <f>ROUNDUP(1572.73*(1-$F$3),2)</f>
        <v/>
      </c>
      <c r="V16" s="1" t="n">
        <v>616</v>
      </c>
      <c r="Y16" s="1" t="inlineStr">
        <is>
          <t>Бахыт Кенжеев. Избранное. 1972-2022</t>
        </is>
      </c>
      <c r="Z16" s="1" t="inlineStr">
        <is>
          <t>16+</t>
        </is>
      </c>
      <c r="AA16" s="12" t="n">
        <v>45867</v>
      </c>
      <c r="AB16" s="1" t="inlineStr">
        <is>
          <t>Художественная литература</t>
        </is>
      </c>
      <c r="AC16" s="1" t="inlineStr">
        <is>
          <t>Поэзия</t>
        </is>
      </c>
      <c r="AD16" s="1" t="inlineStr">
        <is>
          <t>Русская поэзия</t>
        </is>
      </c>
      <c r="AE16" s="1" t="inlineStr">
        <is>
          <t>офсетная</t>
        </is>
      </c>
      <c r="AG16" s="1" t="n">
        <v>11792080</v>
      </c>
      <c r="AI16" s="1" t="inlineStr">
        <is>
          <t>4901990000</t>
        </is>
      </c>
      <c r="AJ16" s="1" t="inlineStr">
        <is>
          <t>Зпв</t>
        </is>
      </c>
    </row>
    <row r="17" customFormat="1" s="1">
      <c r="C17" s="1" t="inlineStr">
        <is>
          <t xml:space="preserve">12083520            </t>
        </is>
      </c>
      <c r="E17" s="1" t="inlineStr">
        <is>
          <t>Бог, которого не было. Красная книга. Кн. 3. Френкель А.Р</t>
        </is>
      </c>
      <c r="F17" s="13" t="inlineStr">
        <is>
          <t>См.обл.</t>
        </is>
      </c>
      <c r="G17" s="1" t="inlineStr">
        <is>
          <t>Френкель А.Р</t>
        </is>
      </c>
      <c r="H17" s="1" t="inlineStr">
        <is>
          <t>70х100/16</t>
        </is>
      </c>
      <c r="I17" s="1" t="n">
        <v>704</v>
      </c>
      <c r="J17" s="1" t="inlineStr">
        <is>
          <t>РИПОЛ Классик</t>
        </is>
      </c>
      <c r="M17" s="1" t="inlineStr">
        <is>
          <t>2026</t>
        </is>
      </c>
      <c r="N17" s="1" t="inlineStr">
        <is>
          <t>П</t>
        </is>
      </c>
      <c r="O17" s="9" t="n">
        <v>4</v>
      </c>
      <c r="P17" s="1">
        <f>ROUNDUP(2690*(1-$F$3),2)</f>
        <v/>
      </c>
      <c r="Q17" s="1" t="inlineStr">
        <is>
          <t> </t>
        </is>
      </c>
      <c r="R17" s="1" t="inlineStr">
        <is>
          <t>978-5-386-15146-1</t>
        </is>
      </c>
      <c r="S17" s="1" t="inlineStr">
        <is>
          <t>9785386151461</t>
        </is>
      </c>
      <c r="T17" s="9" t="n">
        <v>22</v>
      </c>
      <c r="U17" s="1">
        <f>ROUNDUP(2204.92*(1-$F$3),2)</f>
        <v/>
      </c>
      <c r="V17" s="1" t="n">
        <v>1201</v>
      </c>
      <c r="Y17" s="1" t="inlineStr">
        <is>
          <t>Бог, которого не было. Красная книга. Кн. 3</t>
        </is>
      </c>
      <c r="Z17" s="1" t="inlineStr">
        <is>
          <t>18+</t>
        </is>
      </c>
      <c r="AA17" s="12" t="n">
        <v>46147</v>
      </c>
      <c r="AB17" s="1" t="inlineStr">
        <is>
          <t>Художественная литература</t>
        </is>
      </c>
      <c r="AC17" s="1" t="inlineStr">
        <is>
          <t>Русская литература</t>
        </is>
      </c>
      <c r="AD17" s="1" t="inlineStr">
        <is>
          <t>Современная литература</t>
        </is>
      </c>
      <c r="AE17" s="1" t="inlineStr">
        <is>
          <t>офсетная</t>
        </is>
      </c>
      <c r="AG17" s="1" t="n">
        <v>12083520</v>
      </c>
      <c r="AI17" s="1" t="inlineStr">
        <is>
          <t>4901990000</t>
        </is>
      </c>
      <c r="AJ17" s="1" t="inlineStr">
        <is>
          <t>Зпв</t>
        </is>
      </c>
    </row>
    <row r="18" customFormat="1" s="11">
      <c r="A18" s="11" t="inlineStr">
        <is>
          <t>нов</t>
        </is>
      </c>
      <c r="C18" s="11" t="inlineStr">
        <is>
          <t xml:space="preserve">12231060            </t>
        </is>
      </c>
      <c r="E18" s="11" t="inlineStr">
        <is>
          <t>Бойся / не бойся. Борисова И.</t>
        </is>
      </c>
      <c r="F18" s="14" t="inlineStr">
        <is>
          <t>См.обл.</t>
        </is>
      </c>
      <c r="G18" s="11" t="inlineStr">
        <is>
          <t>Борисова И.</t>
        </is>
      </c>
      <c r="H18" s="11" t="inlineStr">
        <is>
          <t>60х90/16</t>
        </is>
      </c>
      <c r="I18" s="11" t="n">
        <v>832</v>
      </c>
      <c r="J18" s="11" t="inlineStr">
        <is>
          <t>РИПОЛ Классик</t>
        </is>
      </c>
      <c r="M18" s="11" t="inlineStr">
        <is>
          <t>2026</t>
        </is>
      </c>
      <c r="N18" s="11" t="inlineStr">
        <is>
          <t>П</t>
        </is>
      </c>
      <c r="O18" s="26" t="n">
        <v>4</v>
      </c>
      <c r="P18" s="11">
        <f>ROUNDUP(1290*(1-$F$3),2)</f>
        <v/>
      </c>
      <c r="Q18" s="11" t="inlineStr">
        <is>
          <t> </t>
        </is>
      </c>
      <c r="R18" s="11" t="inlineStr">
        <is>
          <t>978-5-386-15608-4</t>
        </is>
      </c>
      <c r="S18" s="11" t="inlineStr">
        <is>
          <t>9785386156084</t>
        </is>
      </c>
      <c r="T18" s="26" t="n">
        <v>22</v>
      </c>
      <c r="U18" s="11">
        <f>ROUNDUP(1057.38*(1-$F$3),2)</f>
        <v/>
      </c>
      <c r="V18" s="11" t="n">
        <v>833</v>
      </c>
      <c r="Y18" s="11" t="inlineStr">
        <is>
          <t>Бойся / не бойся</t>
        </is>
      </c>
      <c r="Z18" s="11" t="inlineStr">
        <is>
          <t>18+</t>
        </is>
      </c>
      <c r="AA18" s="15" t="n">
        <v>46257</v>
      </c>
      <c r="AB18" s="11" t="inlineStr">
        <is>
          <t>Художественная литература</t>
        </is>
      </c>
      <c r="AC18" s="11" t="inlineStr">
        <is>
          <t>Детективы. Боевики. Триллеры</t>
        </is>
      </c>
      <c r="AD18" s="11" t="inlineStr">
        <is>
          <t>Русский детектив</t>
        </is>
      </c>
      <c r="AE18" s="11" t="inlineStr">
        <is>
          <t>офсетная</t>
        </is>
      </c>
      <c r="AG18" s="11" t="n">
        <v>12231060</v>
      </c>
      <c r="AI18" s="11" t="inlineStr">
        <is>
          <t>4901990000</t>
        </is>
      </c>
      <c r="AJ18" s="11" t="inlineStr">
        <is>
          <t>Зпв</t>
        </is>
      </c>
    </row>
    <row r="19" customFormat="1" s="1">
      <c r="C19" s="1" t="inlineStr">
        <is>
          <t xml:space="preserve">11462850            </t>
        </is>
      </c>
      <c r="E19" s="1" t="inlineStr">
        <is>
          <t>Бунт. Как разрешить себе быть плохим. Скрябин Р.А.</t>
        </is>
      </c>
      <c r="F19" s="13" t="inlineStr">
        <is>
          <t>См.обл.</t>
        </is>
      </c>
      <c r="G19" s="1" t="inlineStr">
        <is>
          <t>Скрябин Р.А.</t>
        </is>
      </c>
      <c r="H19" s="1" t="inlineStr">
        <is>
          <t>60х90/16</t>
        </is>
      </c>
      <c r="I19" s="1" t="n">
        <v>232</v>
      </c>
      <c r="J19" s="1" t="inlineStr">
        <is>
          <t>РИПОЛ Классик</t>
        </is>
      </c>
      <c r="M19" s="1" t="inlineStr">
        <is>
          <t>2025</t>
        </is>
      </c>
      <c r="N19" s="1" t="inlineStr">
        <is>
          <t>П</t>
        </is>
      </c>
      <c r="O19" s="9" t="n">
        <v>7</v>
      </c>
      <c r="P19" s="1">
        <f>ROUNDUP(1370*(1-$F$3),2)</f>
        <v/>
      </c>
      <c r="Q19" s="1" t="inlineStr">
        <is>
          <t> </t>
        </is>
      </c>
      <c r="R19" s="1" t="inlineStr">
        <is>
          <t>978-5-386-15236-9</t>
        </is>
      </c>
      <c r="S19" s="1" t="inlineStr">
        <is>
          <t>9785386152369</t>
        </is>
      </c>
      <c r="T19" s="9" t="n">
        <v>10</v>
      </c>
      <c r="U19" s="1">
        <f>ROUNDUP(1245.45*(1-$F$3),2)</f>
        <v/>
      </c>
      <c r="V19" s="1" t="n">
        <v>395</v>
      </c>
      <c r="Y19" s="1" t="inlineStr">
        <is>
          <t>Бунт. Как разрешить себе быть плохим</t>
        </is>
      </c>
      <c r="Z19" s="1" t="inlineStr">
        <is>
          <t>16+</t>
        </is>
      </c>
      <c r="AA19" s="12" t="n">
        <v>45553</v>
      </c>
      <c r="AB19" s="1" t="inlineStr">
        <is>
          <t>Гуманитарные науки</t>
        </is>
      </c>
      <c r="AC19" s="1" t="inlineStr">
        <is>
          <t>Психология</t>
        </is>
      </c>
      <c r="AD19" s="1" t="inlineStr">
        <is>
          <t>Психология личности. Характер. Личностный рост</t>
        </is>
      </c>
      <c r="AE19" s="1" t="inlineStr">
        <is>
          <t>офсетная</t>
        </is>
      </c>
      <c r="AG19" s="1" t="n">
        <v>11462850</v>
      </c>
      <c r="AI19" s="1" t="inlineStr">
        <is>
          <t>4901990000</t>
        </is>
      </c>
    </row>
    <row r="20" customFormat="1" s="1">
      <c r="C20" s="1" t="inlineStr">
        <is>
          <t>11757290</t>
        </is>
      </c>
      <c r="E20" s="1" t="inlineStr">
        <is>
          <t>Бюро темных дел; Бюро темных дел -2. Призрак Викария (комплект из 2-х книг). Фуасье Э.</t>
        </is>
      </c>
      <c r="F20" s="13" t="inlineStr">
        <is>
          <t>См.обл.</t>
        </is>
      </c>
      <c r="G20" s="1" t="inlineStr">
        <is>
          <t>Фуасье Э.</t>
        </is>
      </c>
      <c r="H20" s="1" t="inlineStr">
        <is>
          <t>60х90/16</t>
        </is>
      </c>
      <c r="I20" s="1" t="n">
        <v>912</v>
      </c>
      <c r="J20" s="1" t="inlineStr">
        <is>
          <t>РИПОЛ Классик</t>
        </is>
      </c>
      <c r="M20" s="1" t="inlineStr">
        <is>
          <t>2026</t>
        </is>
      </c>
      <c r="N20" s="1" t="inlineStr">
        <is>
          <t>П</t>
        </is>
      </c>
      <c r="O20" s="9" t="n"/>
      <c r="P20" s="1">
        <f>ROUNDUP(2260*(1-$F$3),2)</f>
        <v/>
      </c>
      <c r="Q20" s="1" t="inlineStr">
        <is>
          <t> </t>
        </is>
      </c>
      <c r="R20" s="1" t="inlineStr">
        <is>
          <t>978-5-8853-6744-8</t>
        </is>
      </c>
      <c r="S20" s="1" t="inlineStr">
        <is>
          <t>9785885367448</t>
        </is>
      </c>
      <c r="T20" s="9" t="n">
        <v>22</v>
      </c>
      <c r="U20" s="1">
        <f>ROUNDUP(1852.46*(1-$F$3),2)</f>
        <v/>
      </c>
      <c r="V20" s="1" t="n">
        <v>1034</v>
      </c>
      <c r="Y20" s="1" t="inlineStr">
        <is>
          <t>Бюро темных дел; Бюро темных дел -2. Призрак Викария (комплект из 2-х книг)</t>
        </is>
      </c>
      <c r="Z20" s="1" t="inlineStr">
        <is>
          <t>18+</t>
        </is>
      </c>
      <c r="AA20" s="12" t="n">
        <v>45792</v>
      </c>
      <c r="AB20" s="1" t="inlineStr">
        <is>
          <t>Художественная литература</t>
        </is>
      </c>
      <c r="AC20" s="1" t="inlineStr">
        <is>
          <t>Детективы. Боевики. Триллеры</t>
        </is>
      </c>
      <c r="AD20" s="1" t="inlineStr">
        <is>
          <t>Зарубежный детектив</t>
        </is>
      </c>
      <c r="AE20" s="1" t="inlineStr">
        <is>
          <t>офсетная</t>
        </is>
      </c>
      <c r="AG20" s="1" t="n">
        <v>11757290</v>
      </c>
      <c r="AI20" s="1" t="inlineStr">
        <is>
          <t>4901990000</t>
        </is>
      </c>
      <c r="AJ20" s="1" t="inlineStr">
        <is>
          <t>Зпв</t>
        </is>
      </c>
    </row>
    <row r="21" customFormat="1" s="1">
      <c r="C21" s="1" t="inlineStr">
        <is>
          <t xml:space="preserve">11943650            </t>
        </is>
      </c>
      <c r="E21" s="1" t="inlineStr">
        <is>
          <t>В стране уходящего детства: школьная повесть. Санаев А.</t>
        </is>
      </c>
      <c r="F21" s="13" t="inlineStr">
        <is>
          <t>См.обл.</t>
        </is>
      </c>
      <c r="G21" s="1" t="inlineStr">
        <is>
          <t>Санаев А.</t>
        </is>
      </c>
      <c r="H21" s="1" t="inlineStr">
        <is>
          <t>60х90/16</t>
        </is>
      </c>
      <c r="I21" s="1" t="n">
        <v>320</v>
      </c>
      <c r="J21" s="1" t="inlineStr">
        <is>
          <t>РИПОЛ Классик</t>
        </is>
      </c>
      <c r="M21" s="1" t="inlineStr">
        <is>
          <t>2026</t>
        </is>
      </c>
      <c r="N21" s="1" t="inlineStr">
        <is>
          <t>П</t>
        </is>
      </c>
      <c r="O21" s="9" t="n">
        <v>10</v>
      </c>
      <c r="P21" s="1">
        <f>ROUNDUP(1110*(1-$F$3),2)</f>
        <v/>
      </c>
      <c r="Q21" s="1" t="inlineStr">
        <is>
          <t> </t>
        </is>
      </c>
      <c r="R21" s="1" t="inlineStr">
        <is>
          <t>978-5-386-15529-2</t>
        </is>
      </c>
      <c r="S21" s="1" t="inlineStr">
        <is>
          <t>9785386155292</t>
        </is>
      </c>
      <c r="T21" s="9" t="n">
        <v>10</v>
      </c>
      <c r="U21" s="1">
        <f>ROUNDUP(1009.09*(1-$F$3),2)</f>
        <v/>
      </c>
      <c r="V21" s="1" t="n">
        <v>482</v>
      </c>
      <c r="Y21" s="1" t="inlineStr">
        <is>
          <t>В стране уходящего детства: школьная повесть</t>
        </is>
      </c>
      <c r="Z21" s="1" t="inlineStr">
        <is>
          <t>12+</t>
        </is>
      </c>
      <c r="AA21" s="12" t="n">
        <v>45987</v>
      </c>
      <c r="AB21" s="1" t="inlineStr">
        <is>
          <t>Художественная литература</t>
        </is>
      </c>
      <c r="AC21" s="1" t="inlineStr">
        <is>
          <t>Русская литература</t>
        </is>
      </c>
      <c r="AD21" s="1" t="inlineStr">
        <is>
          <t>Современная литература</t>
        </is>
      </c>
      <c r="AE21" s="1" t="inlineStr">
        <is>
          <t>офсетная</t>
        </is>
      </c>
      <c r="AG21" s="1" t="n">
        <v>11943650</v>
      </c>
      <c r="AI21" s="1" t="inlineStr">
        <is>
          <t>4901990000</t>
        </is>
      </c>
    </row>
    <row r="22" customFormat="1" s="1">
      <c r="C22" s="1" t="inlineStr">
        <is>
          <t>12037830</t>
        </is>
      </c>
      <c r="E22" s="1" t="inlineStr">
        <is>
          <t>Верь/не верь (с автографом). Борисова И.</t>
        </is>
      </c>
      <c r="F22" s="13" t="inlineStr">
        <is>
          <t>См.обл.</t>
        </is>
      </c>
      <c r="G22" s="1" t="inlineStr">
        <is>
          <t>Борисова И.</t>
        </is>
      </c>
      <c r="H22" s="1" t="inlineStr">
        <is>
          <t>60х90/16</t>
        </is>
      </c>
      <c r="I22" s="1" t="n">
        <v>560</v>
      </c>
      <c r="J22" s="1" t="inlineStr">
        <is>
          <t>РИПОЛ Классик</t>
        </is>
      </c>
      <c r="M22" s="1" t="inlineStr">
        <is>
          <t>2026</t>
        </is>
      </c>
      <c r="N22" s="1" t="inlineStr">
        <is>
          <t>П</t>
        </is>
      </c>
      <c r="O22" s="9" t="n">
        <v>6</v>
      </c>
      <c r="P22" s="1">
        <f>ROUNDUP(1419*(1-$F$3),2)</f>
        <v/>
      </c>
      <c r="Q22" s="1" t="inlineStr">
        <is>
          <t> </t>
        </is>
      </c>
      <c r="R22" s="1" t="inlineStr">
        <is>
          <t>978-5-8853-9222-8</t>
        </is>
      </c>
      <c r="S22" s="1" t="inlineStr">
        <is>
          <t>9785885392228</t>
        </is>
      </c>
      <c r="T22" s="9" t="n">
        <v>22</v>
      </c>
      <c r="U22" s="1">
        <f>ROUNDUP(1163.11*(1-$F$3),2)</f>
        <v/>
      </c>
      <c r="V22" s="1" t="n">
        <v>592</v>
      </c>
      <c r="Y22" s="1" t="inlineStr">
        <is>
          <t>Верь/не верь (с автографом)</t>
        </is>
      </c>
      <c r="Z22" s="1" t="inlineStr">
        <is>
          <t>18+</t>
        </is>
      </c>
      <c r="AA22" s="12" t="n">
        <v>46063</v>
      </c>
      <c r="AB22" s="1" t="inlineStr">
        <is>
          <t>Художественная литература</t>
        </is>
      </c>
      <c r="AC22" s="1" t="inlineStr">
        <is>
          <t>Русская литература</t>
        </is>
      </c>
      <c r="AD22" s="1" t="inlineStr">
        <is>
          <t>Современная литература</t>
        </is>
      </c>
      <c r="AE22" s="1" t="inlineStr">
        <is>
          <t>офсетная</t>
        </is>
      </c>
      <c r="AG22" s="1" t="n">
        <v>12037830</v>
      </c>
      <c r="AI22" s="1" t="inlineStr">
        <is>
          <t>4901990000</t>
        </is>
      </c>
      <c r="AJ22" s="1" t="inlineStr">
        <is>
          <t>Зпв</t>
        </is>
      </c>
    </row>
    <row r="23" customFormat="1" s="1">
      <c r="C23" s="1" t="inlineStr">
        <is>
          <t xml:space="preserve">11647160            </t>
        </is>
      </c>
      <c r="E23" s="1" t="inlineStr">
        <is>
          <t>Верь/не верь. Борисова И.</t>
        </is>
      </c>
      <c r="F23" s="13" t="inlineStr">
        <is>
          <t>См.обл.</t>
        </is>
      </c>
      <c r="G23" s="1" t="inlineStr">
        <is>
          <t>Борисова И.</t>
        </is>
      </c>
      <c r="H23" s="1" t="inlineStr">
        <is>
          <t>60х90/16</t>
        </is>
      </c>
      <c r="I23" s="1" t="n">
        <v>560</v>
      </c>
      <c r="J23" s="1" t="inlineStr">
        <is>
          <t>РИПОЛ Классик</t>
        </is>
      </c>
      <c r="M23" s="1" t="inlineStr">
        <is>
          <t>2026</t>
        </is>
      </c>
      <c r="N23" s="1" t="inlineStr">
        <is>
          <t>П</t>
        </is>
      </c>
      <c r="O23" s="9" t="n">
        <v>6</v>
      </c>
      <c r="P23" s="1">
        <f>ROUNDUP(1300*(1-$F$3),2)</f>
        <v/>
      </c>
      <c r="Q23" s="1" t="inlineStr">
        <is>
          <t> </t>
        </is>
      </c>
      <c r="R23" s="1" t="inlineStr">
        <is>
          <t>978-5-386-15222-2</t>
        </is>
      </c>
      <c r="S23" s="1" t="inlineStr">
        <is>
          <t>9785386152222</t>
        </is>
      </c>
      <c r="T23" s="9" t="n">
        <v>22</v>
      </c>
      <c r="U23" s="1">
        <f>ROUNDUP(1065.57*(1-$F$3),2)</f>
        <v/>
      </c>
      <c r="V23" s="1" t="n">
        <v>579</v>
      </c>
      <c r="Y23" s="1" t="inlineStr">
        <is>
          <t>Верь/не верь</t>
        </is>
      </c>
      <c r="Z23" s="1" t="inlineStr">
        <is>
          <t>18+</t>
        </is>
      </c>
      <c r="AA23" s="12" t="n">
        <v>45732</v>
      </c>
      <c r="AB23" s="1" t="inlineStr">
        <is>
          <t>Художественная литература</t>
        </is>
      </c>
      <c r="AC23" s="1" t="inlineStr">
        <is>
          <t>Русская литература</t>
        </is>
      </c>
      <c r="AD23" s="1" t="inlineStr">
        <is>
          <t>Современная литература</t>
        </is>
      </c>
      <c r="AE23" s="1" t="inlineStr">
        <is>
          <t>офсетная</t>
        </is>
      </c>
      <c r="AG23" s="1" t="n">
        <v>11647160</v>
      </c>
      <c r="AI23" s="1" t="inlineStr">
        <is>
          <t>4901990000</t>
        </is>
      </c>
      <c r="AJ23" s="1" t="inlineStr">
        <is>
          <t>Зпв</t>
        </is>
      </c>
    </row>
    <row r="24" customFormat="1" s="1">
      <c r="C24" s="1" t="inlineStr">
        <is>
          <t xml:space="preserve">12029760            </t>
        </is>
      </c>
      <c r="E24" s="1" t="inlineStr">
        <is>
          <t>Восьмерки: роман. Миллер Дж.</t>
        </is>
      </c>
      <c r="F24" s="13" t="inlineStr">
        <is>
          <t>См.обл.</t>
        </is>
      </c>
      <c r="G24" s="1" t="inlineStr">
        <is>
          <t>Миллер Дж.</t>
        </is>
      </c>
      <c r="H24" s="1" t="inlineStr">
        <is>
          <t>60х90/16</t>
        </is>
      </c>
      <c r="I24" s="1" t="n">
        <v>448</v>
      </c>
      <c r="J24" s="1" t="inlineStr">
        <is>
          <t>РИПОЛ Классик</t>
        </is>
      </c>
      <c r="K24" s="1" t="inlineStr">
        <is>
          <t>Строки</t>
        </is>
      </c>
      <c r="M24" s="1" t="inlineStr">
        <is>
          <t>2026</t>
        </is>
      </c>
      <c r="N24" s="1" t="inlineStr">
        <is>
          <t>О</t>
        </is>
      </c>
      <c r="O24" s="9" t="n">
        <v>12</v>
      </c>
      <c r="P24" s="1">
        <f>ROUNDUP(1190*(1-$F$3),2)</f>
        <v/>
      </c>
      <c r="Q24" s="1" t="inlineStr">
        <is>
          <t> </t>
        </is>
      </c>
      <c r="R24" s="1" t="inlineStr">
        <is>
          <t>978-5-386-15554-4</t>
        </is>
      </c>
      <c r="S24" s="1" t="inlineStr">
        <is>
          <t>9785386155544</t>
        </is>
      </c>
      <c r="T24" s="9" t="n">
        <v>22</v>
      </c>
      <c r="U24" s="1">
        <f>ROUNDUP(975.41*(1-$F$3),2)</f>
        <v/>
      </c>
      <c r="V24" s="1" t="n">
        <v>448</v>
      </c>
      <c r="Y24" s="1" t="inlineStr">
        <is>
          <t>Восьмерки: роман</t>
        </is>
      </c>
      <c r="Z24" s="1" t="inlineStr">
        <is>
          <t>18+</t>
        </is>
      </c>
      <c r="AA24" s="12" t="n">
        <v>46085</v>
      </c>
      <c r="AB24" s="1" t="inlineStr">
        <is>
          <t>Художественная литература</t>
        </is>
      </c>
      <c r="AC24" s="1" t="inlineStr">
        <is>
          <t>Зарубежная литература</t>
        </is>
      </c>
      <c r="AD24" s="1" t="inlineStr">
        <is>
          <t>Европейская литература</t>
        </is>
      </c>
      <c r="AE24" s="1" t="inlineStr">
        <is>
          <t>офсетная</t>
        </is>
      </c>
      <c r="AG24" s="1" t="n">
        <v>12029760</v>
      </c>
      <c r="AI24" s="1" t="inlineStr">
        <is>
          <t>4901990000</t>
        </is>
      </c>
    </row>
    <row r="25" customFormat="1" s="1">
      <c r="C25" s="1" t="inlineStr">
        <is>
          <t xml:space="preserve">12196430            </t>
        </is>
      </c>
      <c r="E25" s="1" t="inlineStr">
        <is>
          <t>Вот попали!. Спехова Н.В.</t>
        </is>
      </c>
      <c r="F25" s="13" t="inlineStr">
        <is>
          <t>См.обл.</t>
        </is>
      </c>
      <c r="G25" s="1" t="inlineStr">
        <is>
          <t>Спехова Н.В.</t>
        </is>
      </c>
      <c r="H25" s="1" t="inlineStr">
        <is>
          <t>60х90/16</t>
        </is>
      </c>
      <c r="I25" s="1" t="n">
        <v>208</v>
      </c>
      <c r="J25" s="1" t="inlineStr">
        <is>
          <t>РИПОЛ Классик</t>
        </is>
      </c>
      <c r="M25" s="1" t="inlineStr">
        <is>
          <t>2026</t>
        </is>
      </c>
      <c r="N25" s="1" t="inlineStr">
        <is>
          <t>П</t>
        </is>
      </c>
      <c r="O25" s="9" t="n">
        <v>14</v>
      </c>
      <c r="P25" s="1">
        <f>ROUNDUP(890*(1-$F$3),2)</f>
        <v/>
      </c>
      <c r="Q25" s="1" t="inlineStr">
        <is>
          <t> </t>
        </is>
      </c>
      <c r="R25" s="1" t="inlineStr">
        <is>
          <t>978-5-386-15637-4</t>
        </is>
      </c>
      <c r="S25" s="1" t="inlineStr">
        <is>
          <t>9785386156374</t>
        </is>
      </c>
      <c r="T25" s="9" t="n">
        <v>10</v>
      </c>
      <c r="U25" s="1">
        <f>ROUNDUP(809.09*(1-$F$3),2)</f>
        <v/>
      </c>
      <c r="V25" s="1" t="n">
        <v>348</v>
      </c>
      <c r="Y25" s="1" t="inlineStr">
        <is>
          <t>Вот попали!</t>
        </is>
      </c>
      <c r="Z25" s="1" t="inlineStr">
        <is>
          <t>12+</t>
        </is>
      </c>
      <c r="AA25" s="12" t="n">
        <v>46209</v>
      </c>
      <c r="AB25" s="1" t="inlineStr">
        <is>
          <t>Детская литература</t>
        </is>
      </c>
      <c r="AC25" s="1" t="inlineStr">
        <is>
          <t>Художественная литература</t>
        </is>
      </c>
      <c r="AD25" s="1" t="inlineStr">
        <is>
          <t>Фантастика. Фэнтэзи. Ужастик</t>
        </is>
      </c>
      <c r="AE25" s="1" t="inlineStr">
        <is>
          <t>офсетная</t>
        </is>
      </c>
      <c r="AG25" s="1" t="n">
        <v>12196430</v>
      </c>
      <c r="AI25" s="1" t="inlineStr">
        <is>
          <t>4901990000</t>
        </is>
      </c>
    </row>
    <row r="26" customFormat="1" s="1">
      <c r="C26" s="1" t="inlineStr">
        <is>
          <t xml:space="preserve">11675640            </t>
        </is>
      </c>
      <c r="E26" s="1" t="inlineStr">
        <is>
          <t>Выкуси. Любовные похождения Макса и Вика. Кравченко Д.В.</t>
        </is>
      </c>
      <c r="F26" s="13" t="inlineStr">
        <is>
          <t>См.обл.</t>
        </is>
      </c>
      <c r="G26" s="1" t="inlineStr">
        <is>
          <t>Кравченко Д.В.</t>
        </is>
      </c>
      <c r="H26" s="1" t="inlineStr">
        <is>
          <t>60х90/16</t>
        </is>
      </c>
      <c r="I26" s="1" t="n">
        <v>304</v>
      </c>
      <c r="J26" s="1" t="inlineStr">
        <is>
          <t>РИПОЛ Классик</t>
        </is>
      </c>
      <c r="M26" s="1" t="inlineStr">
        <is>
          <t>2025</t>
        </is>
      </c>
      <c r="N26" s="1" t="inlineStr">
        <is>
          <t>П</t>
        </is>
      </c>
      <c r="O26" s="9" t="n">
        <v>8</v>
      </c>
      <c r="P26" s="1">
        <f>ROUNDUP(760*(1-$F$3),2)</f>
        <v/>
      </c>
      <c r="Q26" s="1" t="inlineStr">
        <is>
          <t> </t>
        </is>
      </c>
      <c r="R26" s="1" t="inlineStr">
        <is>
          <t>978-5-386-15417-2</t>
        </is>
      </c>
      <c r="S26" s="1" t="inlineStr">
        <is>
          <t>9785386154172</t>
        </is>
      </c>
      <c r="T26" s="9" t="n">
        <v>22</v>
      </c>
      <c r="U26" s="1">
        <f>ROUNDUP(622.95*(1-$F$3),2)</f>
        <v/>
      </c>
      <c r="V26" s="1" t="n">
        <v>351</v>
      </c>
      <c r="Y26" s="1" t="inlineStr">
        <is>
          <t>Выкуси. Любовные похождения Макса и Вика</t>
        </is>
      </c>
      <c r="Z26" s="1" t="inlineStr">
        <is>
          <t>18+</t>
        </is>
      </c>
      <c r="AA26" s="12" t="n">
        <v>45754</v>
      </c>
      <c r="AB26" s="1" t="inlineStr">
        <is>
          <t>Художественная литература</t>
        </is>
      </c>
      <c r="AC26" s="1" t="inlineStr">
        <is>
          <t>Русская литература</t>
        </is>
      </c>
      <c r="AD26" s="1" t="inlineStr">
        <is>
          <t>Современная литература</t>
        </is>
      </c>
      <c r="AE26" s="1" t="inlineStr">
        <is>
          <t>офсетная</t>
        </is>
      </c>
      <c r="AG26" s="1" t="n">
        <v>11675640</v>
      </c>
      <c r="AI26" s="1" t="inlineStr">
        <is>
          <t>4901990000</t>
        </is>
      </c>
      <c r="AJ26" s="1" t="inlineStr">
        <is>
          <t>Зпв</t>
        </is>
      </c>
    </row>
    <row r="27" customFormat="1" s="1">
      <c r="C27" s="1" t="inlineStr">
        <is>
          <t>11664080</t>
        </is>
      </c>
      <c r="E27" s="1" t="inlineStr">
        <is>
          <t>Голем; Аватара; Смятение (комплект из 3-х книг). Майринк Г., Мейчен А., Готье Т.</t>
        </is>
      </c>
      <c r="F27" s="13" t="inlineStr">
        <is>
          <t>См.обл.</t>
        </is>
      </c>
      <c r="G27" s="1" t="inlineStr">
        <is>
          <t>Майринк Г., Мейчен А., Готье Т.</t>
        </is>
      </c>
      <c r="H27" s="1" t="inlineStr">
        <is>
          <t>84х108/32</t>
        </is>
      </c>
      <c r="I27" s="1" t="n">
        <v>1072</v>
      </c>
      <c r="J27" s="1" t="inlineStr">
        <is>
          <t>РИПОЛ Классик</t>
        </is>
      </c>
      <c r="M27" s="1" t="inlineStr">
        <is>
          <t>2023</t>
        </is>
      </c>
      <c r="N27" s="1" t="inlineStr">
        <is>
          <t>П</t>
        </is>
      </c>
      <c r="O27" s="9" t="n"/>
      <c r="P27" s="1">
        <f>ROUNDUP(3460*(1-$F$3),2)</f>
        <v/>
      </c>
      <c r="Q27" s="1" t="inlineStr">
        <is>
          <t> </t>
        </is>
      </c>
      <c r="R27" s="1" t="inlineStr">
        <is>
          <t>978-5-521-84480-7</t>
        </is>
      </c>
      <c r="S27" s="1" t="inlineStr">
        <is>
          <t>9785521844807</t>
        </is>
      </c>
      <c r="T27" s="9" t="n">
        <v>10</v>
      </c>
      <c r="U27" s="1">
        <f>ROUNDUP(3145.45*(1-$F$3),2)</f>
        <v/>
      </c>
      <c r="V27" s="1" t="n">
        <v>1191</v>
      </c>
      <c r="Y27" s="1" t="inlineStr">
        <is>
          <t>Голем; Аватара; Смятение (комплект из 3-х книг)</t>
        </is>
      </c>
      <c r="Z27" s="1" t="inlineStr">
        <is>
          <t>16+</t>
        </is>
      </c>
      <c r="AA27" s="12" t="n">
        <v>45706</v>
      </c>
      <c r="AB27" s="1" t="inlineStr">
        <is>
          <t>Художественная литература</t>
        </is>
      </c>
      <c r="AC27" s="1" t="inlineStr">
        <is>
          <t>Фантастика. Мистика. Ужасы</t>
        </is>
      </c>
      <c r="AD27" s="1" t="inlineStr">
        <is>
          <t>Мистика. Ужасы</t>
        </is>
      </c>
      <c r="AE27" s="1" t="inlineStr">
        <is>
          <t>офсетная</t>
        </is>
      </c>
      <c r="AG27" s="1" t="n">
        <v>11664080</v>
      </c>
      <c r="AI27" s="1" t="inlineStr">
        <is>
          <t>4901990000</t>
        </is>
      </c>
    </row>
    <row r="28" customFormat="1" s="1">
      <c r="C28" s="1" t="inlineStr">
        <is>
          <t xml:space="preserve">12133880            </t>
        </is>
      </c>
      <c r="E28" s="1" t="inlineStr">
        <is>
          <t>Давай поиграем в русский язык! 150+ готовых игр без скуки и зубрежки. Назарова Л.Г.</t>
        </is>
      </c>
      <c r="F28" s="13" t="inlineStr">
        <is>
          <t>См.обл.</t>
        </is>
      </c>
      <c r="G28" s="1" t="inlineStr">
        <is>
          <t>Назарова Л.Г.</t>
        </is>
      </c>
      <c r="H28" s="1" t="inlineStr">
        <is>
          <t>60х90/16</t>
        </is>
      </c>
      <c r="I28" s="1" t="n">
        <v>304</v>
      </c>
      <c r="J28" s="1" t="inlineStr">
        <is>
          <t>РИПОЛ Классик</t>
        </is>
      </c>
      <c r="M28" s="1" t="inlineStr">
        <is>
          <t>2026</t>
        </is>
      </c>
      <c r="N28" s="1" t="inlineStr">
        <is>
          <t>П</t>
        </is>
      </c>
      <c r="O28" s="9" t="n">
        <v>10</v>
      </c>
      <c r="P28" s="1">
        <f>ROUNDUP(850*(1-$F$3),2)</f>
        <v/>
      </c>
      <c r="Q28" s="1" t="inlineStr">
        <is>
          <t> </t>
        </is>
      </c>
      <c r="R28" s="1" t="inlineStr">
        <is>
          <t>978-5-386-15617-6</t>
        </is>
      </c>
      <c r="S28" s="1" t="inlineStr">
        <is>
          <t>9785386156176</t>
        </is>
      </c>
      <c r="T28" s="9" t="n">
        <v>10</v>
      </c>
      <c r="U28" s="1">
        <f>ROUNDUP(772.73*(1-$F$3),2)</f>
        <v/>
      </c>
      <c r="V28" s="1" t="n">
        <v>461</v>
      </c>
      <c r="Y28" s="1" t="inlineStr">
        <is>
          <t>Давай поиграем в русский язык! 150+ готовых игр без скуки и зубрежки</t>
        </is>
      </c>
      <c r="Z28" s="1" t="inlineStr">
        <is>
          <t>12+</t>
        </is>
      </c>
      <c r="AA28" s="12" t="n">
        <v>46169</v>
      </c>
      <c r="AB28" s="1" t="inlineStr">
        <is>
          <t>Детская литература</t>
        </is>
      </c>
      <c r="AC28" s="1" t="inlineStr">
        <is>
          <t>Познавательная литература для детей</t>
        </is>
      </c>
      <c r="AD28" s="1" t="inlineStr">
        <is>
          <t>Русский язык. Литература</t>
        </is>
      </c>
      <c r="AE28" s="1" t="inlineStr">
        <is>
          <t>офсетная</t>
        </is>
      </c>
      <c r="AG28" s="1" t="n">
        <v>12133880</v>
      </c>
      <c r="AI28" s="1" t="inlineStr">
        <is>
          <t>4901990000</t>
        </is>
      </c>
    </row>
    <row r="29" customFormat="1" s="1">
      <c r="C29" s="1" t="inlineStr">
        <is>
          <t xml:space="preserve">10290150            </t>
        </is>
      </c>
      <c r="E29" s="1" t="inlineStr">
        <is>
          <t>Дар тишины. Лайдинен Н.</t>
        </is>
      </c>
      <c r="F29" s="13" t="inlineStr">
        <is>
          <t>См.обл.</t>
        </is>
      </c>
      <c r="G29" s="1" t="inlineStr">
        <is>
          <t>Лайдинен Н.</t>
        </is>
      </c>
      <c r="H29" s="1" t="inlineStr">
        <is>
          <t>84х108/32</t>
        </is>
      </c>
      <c r="I29" s="1" t="n">
        <v>352</v>
      </c>
      <c r="J29" s="1" t="inlineStr">
        <is>
          <t>РИПОЛ Классик</t>
        </is>
      </c>
      <c r="M29" s="1" t="inlineStr">
        <is>
          <t>2022</t>
        </is>
      </c>
      <c r="N29" s="1" t="inlineStr">
        <is>
          <t>П</t>
        </is>
      </c>
      <c r="O29" s="9" t="n">
        <v>10</v>
      </c>
      <c r="P29" s="1">
        <f>ROUNDUP(1250*(1-$F$3),2)</f>
        <v/>
      </c>
      <c r="Q29" s="1" t="inlineStr">
        <is>
          <t> </t>
        </is>
      </c>
      <c r="R29" s="1" t="inlineStr">
        <is>
          <t>978-5-386-14667-2</t>
        </is>
      </c>
      <c r="S29" s="1" t="inlineStr">
        <is>
          <t>9785386146672</t>
        </is>
      </c>
      <c r="T29" s="9" t="n">
        <v>10</v>
      </c>
      <c r="U29" s="1">
        <f>ROUNDUP(1136.36*(1-$F$3),2)</f>
        <v/>
      </c>
      <c r="V29" s="1" t="n">
        <v>454</v>
      </c>
      <c r="Y29" s="1" t="inlineStr">
        <is>
          <t>Дар тишины</t>
        </is>
      </c>
      <c r="Z29" s="1" t="inlineStr">
        <is>
          <t>16+</t>
        </is>
      </c>
      <c r="AA29" s="12" t="n">
        <v>44608</v>
      </c>
      <c r="AB29" s="1" t="inlineStr">
        <is>
          <t>Художественная литература</t>
        </is>
      </c>
      <c r="AC29" s="1" t="inlineStr">
        <is>
          <t>Поэзия</t>
        </is>
      </c>
      <c r="AD29" s="1" t="inlineStr">
        <is>
          <t>Русская поэзия</t>
        </is>
      </c>
      <c r="AE29" s="1" t="inlineStr">
        <is>
          <t>офсетная</t>
        </is>
      </c>
      <c r="AG29" s="1" t="n">
        <v>10290150</v>
      </c>
      <c r="AI29" s="1" t="inlineStr">
        <is>
          <t>4901990000</t>
        </is>
      </c>
    </row>
    <row r="30" customFormat="1" s="1">
      <c r="C30" s="1" t="inlineStr">
        <is>
          <t xml:space="preserve">12167930            </t>
        </is>
      </c>
      <c r="E30" s="1" t="inlineStr">
        <is>
          <t>Деревянный танк. Голубев В.М.</t>
        </is>
      </c>
      <c r="F30" s="13" t="inlineStr">
        <is>
          <t>См.обл.</t>
        </is>
      </c>
      <c r="G30" s="1" t="inlineStr">
        <is>
          <t>Голубев В.М.</t>
        </is>
      </c>
      <c r="H30" s="1" t="inlineStr">
        <is>
          <t>60х90/16</t>
        </is>
      </c>
      <c r="I30" s="1" t="n">
        <v>192</v>
      </c>
      <c r="J30" s="1" t="inlineStr">
        <is>
          <t>РИПОЛ Классик</t>
        </is>
      </c>
      <c r="M30" s="1" t="inlineStr">
        <is>
          <t>2026</t>
        </is>
      </c>
      <c r="N30" s="1" t="inlineStr">
        <is>
          <t>П</t>
        </is>
      </c>
      <c r="O30" s="9" t="n">
        <v>10</v>
      </c>
      <c r="P30" s="1">
        <f>ROUNDUP(780*(1-$F$3),2)</f>
        <v/>
      </c>
      <c r="Q30" s="1" t="inlineStr">
        <is>
          <t> </t>
        </is>
      </c>
      <c r="R30" s="1" t="inlineStr">
        <is>
          <t>978-5-386-15639-8</t>
        </is>
      </c>
      <c r="S30" s="1" t="inlineStr">
        <is>
          <t>9785386156398</t>
        </is>
      </c>
      <c r="T30" s="9" t="n">
        <v>10</v>
      </c>
      <c r="U30" s="1">
        <f>ROUNDUP(709.09*(1-$F$3),2)</f>
        <v/>
      </c>
      <c r="V30" s="1" t="n">
        <v>332</v>
      </c>
      <c r="Y30" s="1" t="inlineStr">
        <is>
          <t>Деревянный танк</t>
        </is>
      </c>
      <c r="Z30" s="1" t="inlineStr">
        <is>
          <t>12+</t>
        </is>
      </c>
      <c r="AA30" s="12" t="n">
        <v>46189</v>
      </c>
      <c r="AB30" s="1" t="inlineStr">
        <is>
          <t>Детская литература</t>
        </is>
      </c>
      <c r="AC30" s="1" t="inlineStr">
        <is>
          <t>Художественная литература</t>
        </is>
      </c>
      <c r="AD30" s="1" t="inlineStr">
        <is>
          <t>Проза. Драматургия</t>
        </is>
      </c>
      <c r="AE30" s="1" t="inlineStr">
        <is>
          <t>офсетная</t>
        </is>
      </c>
      <c r="AG30" s="1" t="n">
        <v>12167930</v>
      </c>
      <c r="AI30" s="1" t="inlineStr">
        <is>
          <t>4901990000</t>
        </is>
      </c>
    </row>
    <row r="31" customFormat="1" s="1">
      <c r="C31" s="1" t="inlineStr">
        <is>
          <t>11664290</t>
        </is>
      </c>
      <c r="E31" s="1" t="inlineStr">
        <is>
          <t>Джентльмен с Медвежьей речки; Повесть о Роскошной и Манящей Равнине; Зов Ктулху (комплект из 3-х книг). Говард Р.И., Лавкрафт Г.Ф., Моррис У.</t>
        </is>
      </c>
      <c r="F31" s="13" t="inlineStr">
        <is>
          <t>См.обл.</t>
        </is>
      </c>
      <c r="G31" s="1" t="inlineStr">
        <is>
          <t>Говард Р.И., Лавкрафт Г.Ф., Моррис У.</t>
        </is>
      </c>
      <c r="H31" s="1" t="inlineStr">
        <is>
          <t>84х108/32</t>
        </is>
      </c>
      <c r="I31" s="1" t="n">
        <v>1024</v>
      </c>
      <c r="J31" s="1" t="inlineStr">
        <is>
          <t>РИПОЛ Классик</t>
        </is>
      </c>
      <c r="M31" s="1" t="inlineStr">
        <is>
          <t>2024</t>
        </is>
      </c>
      <c r="N31" s="1" t="inlineStr">
        <is>
          <t>П</t>
        </is>
      </c>
      <c r="O31" s="9" t="n"/>
      <c r="P31" s="1">
        <f>ROUNDUP(3270*(1-$F$3),2)</f>
        <v/>
      </c>
      <c r="Q31" s="1" t="inlineStr">
        <is>
          <t> </t>
        </is>
      </c>
      <c r="R31" s="1" t="inlineStr">
        <is>
          <t>978-5-521-84490-6</t>
        </is>
      </c>
      <c r="S31" s="1" t="inlineStr">
        <is>
          <t>9785521844906</t>
        </is>
      </c>
      <c r="T31" s="9" t="n">
        <v>10</v>
      </c>
      <c r="U31" s="1">
        <f>ROUNDUP(2972.73*(1-$F$3),2)</f>
        <v/>
      </c>
      <c r="V31" s="1" t="n">
        <v>1204</v>
      </c>
      <c r="Y31" s="1" t="inlineStr">
        <is>
          <t>Джентльмен с Медвежьей речки; Повесть о Роскошной и Манящей Равнине; Зов Ктулху (комплект из 3-х книг)</t>
        </is>
      </c>
      <c r="Z31" s="1" t="inlineStr">
        <is>
          <t>16+</t>
        </is>
      </c>
      <c r="AA31" s="12" t="n">
        <v>45706</v>
      </c>
      <c r="AB31" s="1" t="inlineStr">
        <is>
          <t>Художественная литература</t>
        </is>
      </c>
      <c r="AC31" s="1" t="inlineStr">
        <is>
          <t>Фантастика. Мистика. Ужасы</t>
        </is>
      </c>
      <c r="AD31" s="1" t="inlineStr">
        <is>
          <t>Фэнтези</t>
        </is>
      </c>
      <c r="AE31" s="1" t="inlineStr">
        <is>
          <t>офсетная</t>
        </is>
      </c>
      <c r="AG31" s="1" t="n">
        <v>11664290</v>
      </c>
      <c r="AI31" s="1" t="inlineStr">
        <is>
          <t>4901990000</t>
        </is>
      </c>
    </row>
    <row r="32" customFormat="1" s="1">
      <c r="C32" s="1" t="inlineStr">
        <is>
          <t xml:space="preserve">11708390            </t>
        </is>
      </c>
      <c r="E32" s="1" t="inlineStr">
        <is>
          <t>Дневник Эда. Мамон А.В</t>
        </is>
      </c>
      <c r="F32" s="13" t="inlineStr">
        <is>
          <t>См.обл.</t>
        </is>
      </c>
      <c r="G32" s="1" t="inlineStr">
        <is>
          <t>Мамон А.В</t>
        </is>
      </c>
      <c r="H32" s="1" t="inlineStr">
        <is>
          <t>60х90/16</t>
        </is>
      </c>
      <c r="I32" s="1" t="n">
        <v>272</v>
      </c>
      <c r="J32" s="1" t="inlineStr">
        <is>
          <t>РИПОЛ Классик</t>
        </is>
      </c>
      <c r="M32" s="1" t="inlineStr">
        <is>
          <t>2025</t>
        </is>
      </c>
      <c r="N32" s="1" t="inlineStr">
        <is>
          <t>П</t>
        </is>
      </c>
      <c r="O32" s="9" t="n">
        <v>5</v>
      </c>
      <c r="P32" s="1">
        <f>ROUNDUP(1000*(1-$F$3),2)</f>
        <v/>
      </c>
      <c r="Q32" s="1" t="inlineStr">
        <is>
          <t> </t>
        </is>
      </c>
      <c r="R32" s="1" t="inlineStr">
        <is>
          <t>978-5-386-15422-6</t>
        </is>
      </c>
      <c r="S32" s="1" t="inlineStr">
        <is>
          <t>9785386154226</t>
        </is>
      </c>
      <c r="T32" s="9" t="n">
        <v>10</v>
      </c>
      <c r="U32" s="1">
        <f>ROUNDUP(909.09*(1-$F$3),2)</f>
        <v/>
      </c>
      <c r="V32" s="1" t="n">
        <v>329</v>
      </c>
      <c r="Y32" s="1" t="inlineStr">
        <is>
          <t>Дневник Эда</t>
        </is>
      </c>
      <c r="Z32" s="1" t="inlineStr">
        <is>
          <t>16+</t>
        </is>
      </c>
      <c r="AA32" s="12" t="n">
        <v>45756</v>
      </c>
      <c r="AB32" s="1" t="inlineStr">
        <is>
          <t>Художественная литература</t>
        </is>
      </c>
      <c r="AC32" s="1" t="inlineStr">
        <is>
          <t>Русская литература</t>
        </is>
      </c>
      <c r="AD32" s="1" t="inlineStr">
        <is>
          <t>Современная литература</t>
        </is>
      </c>
      <c r="AE32" s="1" t="inlineStr">
        <is>
          <t>офсетная</t>
        </is>
      </c>
      <c r="AG32" s="1" t="n">
        <v>11708390</v>
      </c>
      <c r="AI32" s="1" t="inlineStr">
        <is>
          <t>4901990000</t>
        </is>
      </c>
    </row>
    <row r="33" customFormat="1" s="1">
      <c r="C33" s="1" t="inlineStr">
        <is>
          <t xml:space="preserve">12171100            </t>
        </is>
      </c>
      <c r="E33" s="1" t="inlineStr">
        <is>
          <t>Долг и освобождение. Амелин А., Смирных А.</t>
        </is>
      </c>
      <c r="F33" s="13" t="inlineStr">
        <is>
          <t>См.обл.</t>
        </is>
      </c>
      <c r="G33" s="1" t="inlineStr">
        <is>
          <t>Амелин А., Смирных А.</t>
        </is>
      </c>
      <c r="H33" s="1" t="inlineStr">
        <is>
          <t>84х108/32</t>
        </is>
      </c>
      <c r="I33" s="1" t="n">
        <v>176</v>
      </c>
      <c r="J33" s="1" t="inlineStr">
        <is>
          <t>РИПОЛ Классик</t>
        </is>
      </c>
      <c r="M33" s="1" t="inlineStr">
        <is>
          <t>2026</t>
        </is>
      </c>
      <c r="N33" s="1" t="inlineStr">
        <is>
          <t>П</t>
        </is>
      </c>
      <c r="O33" s="9" t="n">
        <v>10</v>
      </c>
      <c r="P33" s="1">
        <f>ROUNDUP(890*(1-$F$3),2)</f>
        <v/>
      </c>
      <c r="Q33" s="1" t="inlineStr">
        <is>
          <t> </t>
        </is>
      </c>
      <c r="R33" s="1" t="inlineStr">
        <is>
          <t>978-5-386-15636-7</t>
        </is>
      </c>
      <c r="S33" s="1" t="inlineStr">
        <is>
          <t>9785386156367</t>
        </is>
      </c>
      <c r="T33" s="9" t="n">
        <v>10</v>
      </c>
      <c r="U33" s="1">
        <f>ROUNDUP(809.09*(1-$F$3),2)</f>
        <v/>
      </c>
      <c r="V33" s="1" t="n">
        <v>281</v>
      </c>
      <c r="Y33" s="1" t="inlineStr">
        <is>
          <t>Долг и освобождение</t>
        </is>
      </c>
      <c r="Z33" s="1" t="inlineStr">
        <is>
          <t>16+</t>
        </is>
      </c>
      <c r="AA33" s="12" t="n">
        <v>46189</v>
      </c>
      <c r="AB33" s="1" t="inlineStr">
        <is>
          <t>Право. Юридические науки</t>
        </is>
      </c>
      <c r="AC33" s="1" t="inlineStr">
        <is>
          <t>Гражданское право</t>
        </is>
      </c>
      <c r="AD33" s="1" t="inlineStr">
        <is>
          <t>Обязательственное право. Договоры</t>
        </is>
      </c>
      <c r="AE33" s="1" t="inlineStr">
        <is>
          <t>офсетная</t>
        </is>
      </c>
      <c r="AG33" s="1" t="n">
        <v>12171100</v>
      </c>
      <c r="AI33" s="1" t="inlineStr">
        <is>
          <t>4901990000</t>
        </is>
      </c>
    </row>
    <row r="34" customFormat="1" s="1">
      <c r="C34" s="1" t="inlineStr">
        <is>
          <t>11680430</t>
        </is>
      </c>
      <c r="E34" s="1" t="inlineStr">
        <is>
          <t>Дочери судьбы; Город женщин (комплект из 2-х книг). Гилберт Э., Хайланд Т.</t>
        </is>
      </c>
      <c r="F34" s="13" t="inlineStr">
        <is>
          <t>См.обл.</t>
        </is>
      </c>
      <c r="G34" s="1" t="inlineStr">
        <is>
          <t>Гилберт Э., Хайланд Т.</t>
        </is>
      </c>
      <c r="H34" s="1" t="inlineStr">
        <is>
          <t>76х100/32</t>
        </is>
      </c>
      <c r="I34" s="1" t="n">
        <v>1152</v>
      </c>
      <c r="J34" s="1" t="inlineStr">
        <is>
          <t>РИПОЛ Классик</t>
        </is>
      </c>
      <c r="M34" s="1" t="inlineStr">
        <is>
          <t>2025</t>
        </is>
      </c>
      <c r="N34" s="1" t="inlineStr">
        <is>
          <t>О</t>
        </is>
      </c>
      <c r="O34" s="9" t="n"/>
      <c r="P34" s="1">
        <f>ROUNDUP(1970*(1-$F$3),2)</f>
        <v/>
      </c>
      <c r="Q34" s="1" t="inlineStr">
        <is>
          <t> </t>
        </is>
      </c>
      <c r="R34" s="1" t="inlineStr">
        <is>
          <t>978-5-521-84813-3</t>
        </is>
      </c>
      <c r="S34" s="1" t="inlineStr">
        <is>
          <t>9785521848133</t>
        </is>
      </c>
      <c r="T34" s="9" t="n">
        <v>22</v>
      </c>
      <c r="U34" s="1">
        <f>ROUNDUP(1614.75*(1-$F$3),2)</f>
        <v/>
      </c>
      <c r="V34" s="1" t="n">
        <v>1056</v>
      </c>
      <c r="Y34" s="1" t="inlineStr">
        <is>
          <t>Дочери судьбы; Город женщин (комплект из 2-х книг)</t>
        </is>
      </c>
      <c r="Z34" s="1" t="inlineStr">
        <is>
          <t>18+</t>
        </is>
      </c>
      <c r="AA34" s="12" t="n">
        <v>45721</v>
      </c>
      <c r="AB34" s="1" t="inlineStr">
        <is>
          <t>Художественная литература</t>
        </is>
      </c>
      <c r="AC34" s="1" t="inlineStr">
        <is>
          <t>Зарубежная литература</t>
        </is>
      </c>
      <c r="AD34" s="1" t="inlineStr">
        <is>
          <t>Мировая проза и поэзия. Сборники</t>
        </is>
      </c>
      <c r="AE34" s="1" t="inlineStr">
        <is>
          <t>офсетная</t>
        </is>
      </c>
      <c r="AG34" s="1" t="n">
        <v>11680430</v>
      </c>
      <c r="AI34" s="1" t="inlineStr">
        <is>
          <t>4901990000</t>
        </is>
      </c>
    </row>
    <row r="35" customFormat="1" s="1">
      <c r="C35" s="1" t="inlineStr">
        <is>
          <t xml:space="preserve">11893880            </t>
        </is>
      </c>
      <c r="E35" s="1" t="inlineStr">
        <is>
          <t>Другой сценарий. Берг И.</t>
        </is>
      </c>
      <c r="F35" s="13" t="inlineStr">
        <is>
          <t>См.обл.</t>
        </is>
      </c>
      <c r="G35" s="1" t="inlineStr">
        <is>
          <t>Берг И.</t>
        </is>
      </c>
      <c r="H35" s="1" t="inlineStr">
        <is>
          <t>60х90/16</t>
        </is>
      </c>
      <c r="I35" s="1" t="n">
        <v>320</v>
      </c>
      <c r="J35" s="1" t="inlineStr">
        <is>
          <t>РИПОЛ Классик</t>
        </is>
      </c>
      <c r="M35" s="1" t="inlineStr">
        <is>
          <t>2026</t>
        </is>
      </c>
      <c r="N35" s="1" t="inlineStr">
        <is>
          <t>П</t>
        </is>
      </c>
      <c r="O35" s="9" t="n"/>
      <c r="P35" s="1">
        <f>ROUNDUP(1460*(1-$F$3),2)</f>
        <v/>
      </c>
      <c r="Q35" s="1" t="inlineStr">
        <is>
          <t> </t>
        </is>
      </c>
      <c r="R35" s="1" t="inlineStr">
        <is>
          <t>978-5-386-15484-4</t>
        </is>
      </c>
      <c r="S35" s="1" t="inlineStr">
        <is>
          <t>9785386154844</t>
        </is>
      </c>
      <c r="T35" s="9" t="n">
        <v>22</v>
      </c>
      <c r="U35" s="1">
        <f>ROUNDUP(1196.72*(1-$F$3),2)</f>
        <v/>
      </c>
      <c r="V35" s="1" t="n">
        <v>476</v>
      </c>
      <c r="Y35" s="1" t="inlineStr">
        <is>
          <t>Другой сценарий</t>
        </is>
      </c>
      <c r="Z35" s="1" t="inlineStr">
        <is>
          <t>18+</t>
        </is>
      </c>
      <c r="AA35" s="12" t="n">
        <v>45931</v>
      </c>
      <c r="AB35" s="1" t="inlineStr">
        <is>
          <t>Художественная литература</t>
        </is>
      </c>
      <c r="AC35" s="1" t="inlineStr">
        <is>
          <t>Русская литература</t>
        </is>
      </c>
      <c r="AD35" s="1" t="inlineStr">
        <is>
          <t>Современная литература</t>
        </is>
      </c>
      <c r="AE35" s="1" t="inlineStr">
        <is>
          <t>офсетная</t>
        </is>
      </c>
      <c r="AG35" s="1" t="n">
        <v>11893880</v>
      </c>
      <c r="AI35" s="1" t="inlineStr">
        <is>
          <t>4901990000</t>
        </is>
      </c>
      <c r="AJ35" s="1" t="inlineStr">
        <is>
          <t>Зпв</t>
        </is>
      </c>
    </row>
    <row r="36" customFormat="1" s="1">
      <c r="C36" s="1" t="inlineStr">
        <is>
          <t xml:space="preserve">12038380            </t>
        </is>
      </c>
      <c r="E36" s="1" t="inlineStr">
        <is>
          <t>Живая душа: стихи. Лайдинен Н.</t>
        </is>
      </c>
      <c r="F36" s="13" t="inlineStr">
        <is>
          <t>См.обл.</t>
        </is>
      </c>
      <c r="G36" s="1" t="inlineStr">
        <is>
          <t>Лайдинен Н.</t>
        </is>
      </c>
      <c r="H36" s="1" t="inlineStr">
        <is>
          <t>84х108/32</t>
        </is>
      </c>
      <c r="I36" s="1" t="n">
        <v>416</v>
      </c>
      <c r="J36" s="1" t="inlineStr">
        <is>
          <t>РИПОЛ Классик</t>
        </is>
      </c>
      <c r="M36" s="1" t="inlineStr">
        <is>
          <t>2026</t>
        </is>
      </c>
      <c r="N36" s="1" t="inlineStr">
        <is>
          <t>П</t>
        </is>
      </c>
      <c r="O36" s="9" t="n">
        <v>5</v>
      </c>
      <c r="P36" s="1">
        <f>ROUNDUP(1290*(1-$F$3),2)</f>
        <v/>
      </c>
      <c r="Q36" s="1" t="inlineStr">
        <is>
          <t> </t>
        </is>
      </c>
      <c r="R36" s="1" t="inlineStr">
        <is>
          <t>978-5-386-15571-1</t>
        </is>
      </c>
      <c r="S36" s="1" t="inlineStr">
        <is>
          <t>9785386155711</t>
        </is>
      </c>
      <c r="T36" s="9" t="n">
        <v>10</v>
      </c>
      <c r="U36" s="1">
        <f>ROUNDUP(1172.73*(1-$F$3),2)</f>
        <v/>
      </c>
      <c r="V36" s="1" t="n">
        <v>526</v>
      </c>
      <c r="Y36" s="1" t="inlineStr">
        <is>
          <t>Живая душа: стихи</t>
        </is>
      </c>
      <c r="Z36" s="1" t="inlineStr">
        <is>
          <t>16+</t>
        </is>
      </c>
      <c r="AA36" s="12" t="n">
        <v>46070</v>
      </c>
      <c r="AB36" s="1" t="inlineStr">
        <is>
          <t>Художественная литература</t>
        </is>
      </c>
      <c r="AC36" s="1" t="inlineStr">
        <is>
          <t>Поэзия</t>
        </is>
      </c>
      <c r="AD36" s="1" t="inlineStr">
        <is>
          <t>Русская поэзия</t>
        </is>
      </c>
      <c r="AE36" s="1" t="inlineStr">
        <is>
          <t>офсетная</t>
        </is>
      </c>
      <c r="AG36" s="1" t="n">
        <v>12038380</v>
      </c>
      <c r="AI36" s="1" t="inlineStr">
        <is>
          <t>4901990000</t>
        </is>
      </c>
    </row>
    <row r="37" customFormat="1" s="1">
      <c r="C37" s="1" t="inlineStr">
        <is>
          <t xml:space="preserve">11462130            </t>
        </is>
      </c>
      <c r="E37" s="1" t="inlineStr">
        <is>
          <t>Жизнь вопреки. Как жить с почечной недостаточностью. Бердникова О.А.</t>
        </is>
      </c>
      <c r="F37" s="13" t="inlineStr">
        <is>
          <t>См.обл.</t>
        </is>
      </c>
      <c r="G37" s="1" t="inlineStr">
        <is>
          <t>Бердникова О.А.</t>
        </is>
      </c>
      <c r="H37" s="1" t="inlineStr">
        <is>
          <t>76х100/32</t>
        </is>
      </c>
      <c r="I37" s="1" t="n">
        <v>192</v>
      </c>
      <c r="J37" s="1" t="inlineStr">
        <is>
          <t>РИПОЛ Классик</t>
        </is>
      </c>
      <c r="M37" s="1" t="inlineStr">
        <is>
          <t>2025</t>
        </is>
      </c>
      <c r="N37" s="1" t="inlineStr">
        <is>
          <t>О</t>
        </is>
      </c>
      <c r="O37" s="9" t="n">
        <v>26</v>
      </c>
      <c r="P37" s="1">
        <f>ROUNDUP(680*(1-$F$3),2)</f>
        <v/>
      </c>
      <c r="Q37" s="1" t="inlineStr">
        <is>
          <t> </t>
        </is>
      </c>
      <c r="R37" s="1" t="inlineStr">
        <is>
          <t>978-5-386-15295-6</t>
        </is>
      </c>
      <c r="S37" s="1" t="inlineStr">
        <is>
          <t>9785386152956</t>
        </is>
      </c>
      <c r="T37" s="9" t="n">
        <v>10</v>
      </c>
      <c r="U37" s="1">
        <f>ROUNDUP(618.18*(1-$F$3),2)</f>
        <v/>
      </c>
      <c r="V37" s="1" t="n">
        <v>121</v>
      </c>
      <c r="Y37" s="1" t="inlineStr">
        <is>
          <t>Жизнь вопреки. Как жить с почечной недостаточностью</t>
        </is>
      </c>
      <c r="Z37" s="1" t="inlineStr">
        <is>
          <t>16+</t>
        </is>
      </c>
      <c r="AA37" s="12" t="n">
        <v>45544</v>
      </c>
      <c r="AB37" s="1" t="inlineStr">
        <is>
          <t>Медицина</t>
        </is>
      </c>
      <c r="AC37" s="1" t="inlineStr">
        <is>
          <t>Популярная и нетрадиционная медицина</t>
        </is>
      </c>
      <c r="AD37" s="1" t="inlineStr">
        <is>
          <t>Болезни, их профилактика и лечение</t>
        </is>
      </c>
      <c r="AE37" s="1" t="inlineStr">
        <is>
          <t>офсетная</t>
        </is>
      </c>
      <c r="AG37" s="1" t="n">
        <v>11462130</v>
      </c>
      <c r="AI37" s="1" t="inlineStr">
        <is>
          <t>4901990000</t>
        </is>
      </c>
    </row>
    <row r="38" customFormat="1" s="1">
      <c r="C38" s="1" t="inlineStr">
        <is>
          <t xml:space="preserve">9291180             </t>
        </is>
      </c>
      <c r="E38" s="1" t="inlineStr">
        <is>
          <t>Закат империи доллара и конец "Pax Americana". Кобяков А.Б., Хазин М.Л.</t>
        </is>
      </c>
      <c r="F38" s="13" t="inlineStr">
        <is>
          <t>См.обл.</t>
        </is>
      </c>
      <c r="G38" s="1" t="inlineStr">
        <is>
          <t>Кобяков А.Б., Хазин М.Л.</t>
        </is>
      </c>
      <c r="H38" s="1" t="inlineStr">
        <is>
          <t>84х108/32</t>
        </is>
      </c>
      <c r="I38" s="1" t="n">
        <v>302</v>
      </c>
      <c r="J38" s="1" t="inlineStr">
        <is>
          <t>РИПОЛ Классик</t>
        </is>
      </c>
      <c r="M38" s="1" t="inlineStr">
        <is>
          <t>2026</t>
        </is>
      </c>
      <c r="N38" s="1" t="inlineStr">
        <is>
          <t>П</t>
        </is>
      </c>
      <c r="O38" s="9" t="n">
        <v>10</v>
      </c>
      <c r="P38" s="1">
        <f>ROUNDUP(990*(1-$F$3),2)</f>
        <v/>
      </c>
      <c r="Q38" s="1" t="inlineStr">
        <is>
          <t> </t>
        </is>
      </c>
      <c r="R38" s="1" t="inlineStr">
        <is>
          <t>978-5-386-13586-7</t>
        </is>
      </c>
      <c r="S38" s="1" t="inlineStr">
        <is>
          <t>9785386135867</t>
        </is>
      </c>
      <c r="T38" s="9" t="n">
        <v>10</v>
      </c>
      <c r="U38" s="1">
        <f>ROUNDUP(900*(1-$F$3),2)</f>
        <v/>
      </c>
      <c r="V38" s="1" t="n">
        <v>353</v>
      </c>
      <c r="Y38" s="1" t="inlineStr">
        <is>
          <t>Закат империи доллара и конец "Pax Americana"</t>
        </is>
      </c>
      <c r="Z38" s="1" t="inlineStr">
        <is>
          <t>12+</t>
        </is>
      </c>
      <c r="AA38" s="12" t="n">
        <v>43860</v>
      </c>
      <c r="AB38" s="1" t="inlineStr">
        <is>
          <t>Экономика. Экономические науки</t>
        </is>
      </c>
      <c r="AC38" s="1" t="inlineStr">
        <is>
          <t>Экономика</t>
        </is>
      </c>
      <c r="AD38" s="1" t="inlineStr">
        <is>
          <t>Мировая экономика. Международные экономические отношения</t>
        </is>
      </c>
      <c r="AE38" s="1" t="inlineStr">
        <is>
          <t>офсетная</t>
        </is>
      </c>
      <c r="AG38" s="1" t="n">
        <v>9291180</v>
      </c>
      <c r="AI38" s="1" t="inlineStr">
        <is>
          <t>4901990000</t>
        </is>
      </c>
    </row>
    <row r="39" customFormat="1" s="1">
      <c r="C39" s="1" t="inlineStr">
        <is>
          <t xml:space="preserve">11959170            </t>
        </is>
      </c>
      <c r="E39" s="1" t="inlineStr">
        <is>
          <t>Занималка. Ежедневник с заданиями для самопознания и баланса (+наклейки). Уголева А.</t>
        </is>
      </c>
      <c r="F39" s="13" t="inlineStr">
        <is>
          <t>См.обл.</t>
        </is>
      </c>
      <c r="G39" s="1" t="inlineStr">
        <is>
          <t>Уголева А.</t>
        </is>
      </c>
      <c r="H39" s="1" t="inlineStr">
        <is>
          <t>60х90/16</t>
        </is>
      </c>
      <c r="I39" s="1" t="n">
        <v>346</v>
      </c>
      <c r="J39" s="1" t="inlineStr">
        <is>
          <t>РИПОЛ Классик</t>
        </is>
      </c>
      <c r="M39" s="1" t="inlineStr">
        <is>
          <t>2026</t>
        </is>
      </c>
      <c r="N39" s="1" t="inlineStr">
        <is>
          <t>П</t>
        </is>
      </c>
      <c r="O39" s="9" t="n">
        <v>12</v>
      </c>
      <c r="P39" s="1">
        <f>ROUNDUP(1499*(1-$F$3),2)</f>
        <v/>
      </c>
      <c r="Q39" s="1" t="inlineStr">
        <is>
          <t> </t>
        </is>
      </c>
      <c r="R39" s="1" t="inlineStr">
        <is>
          <t>978-5-386-15560-5</t>
        </is>
      </c>
      <c r="S39" s="1" t="inlineStr">
        <is>
          <t>9785386155605</t>
        </is>
      </c>
      <c r="T39" s="9" t="n">
        <v>10</v>
      </c>
      <c r="U39" s="1">
        <f>ROUNDUP(1362.73*(1-$F$3),2)</f>
        <v/>
      </c>
      <c r="V39" s="1" t="n">
        <v>0</v>
      </c>
      <c r="Y39" s="1" t="inlineStr">
        <is>
          <t>Занималка. Ежедневник с заданиями для самопознания и баланса (+наклейки)</t>
        </is>
      </c>
      <c r="Z39" s="1" t="inlineStr">
        <is>
          <t>6 +</t>
        </is>
      </c>
      <c r="AA39" s="12" t="n">
        <v>45987</v>
      </c>
      <c r="AB39" s="1" t="inlineStr">
        <is>
          <t> </t>
        </is>
      </c>
      <c r="AC39" s="1" t="inlineStr">
        <is>
          <t>Гражданское право</t>
        </is>
      </c>
      <c r="AD39" s="1" t="inlineStr">
        <is>
          <t> </t>
        </is>
      </c>
      <c r="AE39" s="1" t="inlineStr">
        <is>
          <t>офсетная</t>
        </is>
      </c>
      <c r="AG39" s="1" t="n">
        <v>11959170</v>
      </c>
      <c r="AI39" s="1" t="inlineStr">
        <is>
          <t>4820109000</t>
        </is>
      </c>
    </row>
    <row r="40" customFormat="1" s="1">
      <c r="C40" s="1" t="inlineStr">
        <is>
          <t xml:space="preserve">11520930            </t>
        </is>
      </c>
      <c r="E40" s="1" t="inlineStr">
        <is>
          <t>Игра в Городки. Стоянов Ю.Н.</t>
        </is>
      </c>
      <c r="F40" s="13" t="inlineStr">
        <is>
          <t>См.обл.</t>
        </is>
      </c>
      <c r="G40" s="1" t="inlineStr">
        <is>
          <t>Стоянов Ю.Н.</t>
        </is>
      </c>
      <c r="H40" s="1" t="inlineStr">
        <is>
          <t>70х100/16</t>
        </is>
      </c>
      <c r="I40" s="1" t="n">
        <v>400</v>
      </c>
      <c r="J40" s="1" t="inlineStr">
        <is>
          <t>РИПОЛ Классик</t>
        </is>
      </c>
      <c r="M40" s="1" t="inlineStr">
        <is>
          <t>2025</t>
        </is>
      </c>
      <c r="N40" s="1" t="inlineStr">
        <is>
          <t>П</t>
        </is>
      </c>
      <c r="O40" s="9" t="n">
        <v>6</v>
      </c>
      <c r="P40" s="1">
        <f>ROUNDUP(1730*(1-$F$3),2)</f>
        <v/>
      </c>
      <c r="Q40" s="1" t="inlineStr">
        <is>
          <t> </t>
        </is>
      </c>
      <c r="R40" s="1" t="inlineStr">
        <is>
          <t>978-5-386-15370-0</t>
        </is>
      </c>
      <c r="S40" s="1" t="inlineStr">
        <is>
          <t>9785386153700</t>
        </is>
      </c>
      <c r="T40" s="9" t="n">
        <v>10</v>
      </c>
      <c r="U40" s="1">
        <f>ROUNDUP(1572.73*(1-$F$3),2)</f>
        <v/>
      </c>
      <c r="V40" s="1" t="n">
        <v>777</v>
      </c>
      <c r="Y40" s="1" t="inlineStr">
        <is>
          <t>Игра в Городки</t>
        </is>
      </c>
      <c r="Z40" s="1" t="inlineStr">
        <is>
          <t>16+</t>
        </is>
      </c>
      <c r="AA40" s="12" t="n">
        <v>45598</v>
      </c>
      <c r="AB40" s="1" t="inlineStr">
        <is>
          <t>Художественно-документальная проза</t>
        </is>
      </c>
      <c r="AC40" s="1" t="inlineStr">
        <is>
          <t>Биографии. Мемуары</t>
        </is>
      </c>
      <c r="AD40" s="1" t="inlineStr">
        <is>
          <t>Воспоминания. Дневники. Письма</t>
        </is>
      </c>
      <c r="AE40" s="1" t="inlineStr">
        <is>
          <t>офсетная</t>
        </is>
      </c>
      <c r="AG40" s="1" t="n">
        <v>11520930</v>
      </c>
      <c r="AI40" s="1" t="inlineStr">
        <is>
          <t>4901990000</t>
        </is>
      </c>
    </row>
    <row r="41" customFormat="1" s="1">
      <c r="C41" s="1" t="inlineStr">
        <is>
          <t xml:space="preserve">11566190            </t>
        </is>
      </c>
      <c r="E41" s="1" t="inlineStr">
        <is>
          <t>Идеальная мама. Хогенбум М</t>
        </is>
      </c>
      <c r="F41" s="13" t="inlineStr">
        <is>
          <t>См.обл.</t>
        </is>
      </c>
      <c r="G41" s="1" t="inlineStr">
        <is>
          <t>Хогенбум М</t>
        </is>
      </c>
      <c r="H41" s="1" t="inlineStr">
        <is>
          <t>60х90/16</t>
        </is>
      </c>
      <c r="I41" s="1" t="n">
        <v>432</v>
      </c>
      <c r="J41" s="1" t="inlineStr">
        <is>
          <t>РИПОЛ Классик</t>
        </is>
      </c>
      <c r="M41" s="1" t="inlineStr">
        <is>
          <t>2025</t>
        </is>
      </c>
      <c r="N41" s="1" t="inlineStr">
        <is>
          <t>П</t>
        </is>
      </c>
      <c r="O41" s="9" t="n">
        <v>6</v>
      </c>
      <c r="P41" s="1">
        <f>ROUNDUP(1270*(1-$F$3),2)</f>
        <v/>
      </c>
      <c r="Q41" s="1" t="inlineStr">
        <is>
          <t> </t>
        </is>
      </c>
      <c r="R41" s="1" t="inlineStr">
        <is>
          <t>978-5-386-15298-7</t>
        </is>
      </c>
      <c r="S41" s="1" t="inlineStr">
        <is>
          <t>9785386152987</t>
        </is>
      </c>
      <c r="T41" s="9" t="n">
        <v>10</v>
      </c>
      <c r="U41" s="1">
        <f>ROUNDUP(1154.55*(1-$F$3),2)</f>
        <v/>
      </c>
      <c r="V41" s="1" t="n">
        <v>501</v>
      </c>
      <c r="Y41" s="1" t="inlineStr">
        <is>
          <t>Идеальная мама</t>
        </is>
      </c>
      <c r="Z41" s="1" t="inlineStr">
        <is>
          <t>16+</t>
        </is>
      </c>
      <c r="AA41" s="12" t="n">
        <v>45651</v>
      </c>
      <c r="AB41" s="1" t="inlineStr">
        <is>
          <t>Гуманитарные науки</t>
        </is>
      </c>
      <c r="AC41" s="1" t="inlineStr">
        <is>
          <t>Психология</t>
        </is>
      </c>
      <c r="AD41" s="1" t="inlineStr">
        <is>
          <t>Популярная психология</t>
        </is>
      </c>
      <c r="AE41" s="1" t="inlineStr">
        <is>
          <t>офсетная</t>
        </is>
      </c>
      <c r="AG41" s="1" t="n">
        <v>11566190</v>
      </c>
      <c r="AI41" s="1" t="inlineStr">
        <is>
          <t>4901990000</t>
        </is>
      </c>
    </row>
    <row r="42" customFormat="1" s="1">
      <c r="C42" s="1" t="inlineStr">
        <is>
          <t xml:space="preserve">12041890            </t>
        </is>
      </c>
      <c r="E42" s="1" t="inlineStr">
        <is>
          <t>Издревле - и до сих пор. Алейников В.Д.</t>
        </is>
      </c>
      <c r="F42" s="13" t="inlineStr">
        <is>
          <t>См.обл.</t>
        </is>
      </c>
      <c r="G42" s="1" t="inlineStr">
        <is>
          <t>Алейников В.Д.</t>
        </is>
      </c>
      <c r="H42" s="1" t="inlineStr">
        <is>
          <t>60х90/16</t>
        </is>
      </c>
      <c r="I42" s="1" t="n">
        <v>720</v>
      </c>
      <c r="J42" s="1" t="inlineStr">
        <is>
          <t>РИПОЛ Классик</t>
        </is>
      </c>
      <c r="M42" s="1" t="inlineStr">
        <is>
          <t>2026</t>
        </is>
      </c>
      <c r="N42" s="1" t="inlineStr">
        <is>
          <t>П</t>
        </is>
      </c>
      <c r="O42" s="9" t="n">
        <v>5</v>
      </c>
      <c r="P42" s="1">
        <f>ROUNDUP(2690*(1-$F$3),2)</f>
        <v/>
      </c>
      <c r="Q42" s="1" t="inlineStr">
        <is>
          <t> </t>
        </is>
      </c>
      <c r="R42" s="1" t="inlineStr">
        <is>
          <t>978-5-386-15569-8</t>
        </is>
      </c>
      <c r="S42" s="1" t="inlineStr">
        <is>
          <t>9785386155698</t>
        </is>
      </c>
      <c r="T42" s="9" t="n">
        <v>22</v>
      </c>
      <c r="U42" s="1">
        <f>ROUNDUP(2204.92*(1-$F$3),2)</f>
        <v/>
      </c>
      <c r="V42" s="1" t="n">
        <v>799</v>
      </c>
      <c r="Y42" s="1" t="inlineStr">
        <is>
          <t>Издревле - и до сих пор</t>
        </is>
      </c>
      <c r="Z42" s="1" t="inlineStr">
        <is>
          <t>18+</t>
        </is>
      </c>
      <c r="AA42" s="12" t="n">
        <v>46079</v>
      </c>
      <c r="AB42" s="1" t="inlineStr">
        <is>
          <t>Художественная литература</t>
        </is>
      </c>
      <c r="AC42" s="1" t="inlineStr">
        <is>
          <t>Русская литература</t>
        </is>
      </c>
      <c r="AD42" s="1" t="inlineStr">
        <is>
          <t>Современная литература</t>
        </is>
      </c>
      <c r="AE42" s="1" t="inlineStr">
        <is>
          <t>офсетная</t>
        </is>
      </c>
      <c r="AG42" s="1" t="n">
        <v>12041890</v>
      </c>
      <c r="AI42" s="1" t="inlineStr">
        <is>
          <t>4901990000</t>
        </is>
      </c>
    </row>
    <row r="43" customFormat="1" s="1">
      <c r="C43" s="1" t="inlineStr">
        <is>
          <t xml:space="preserve">11392320            </t>
        </is>
      </c>
      <c r="E43" s="1" t="inlineStr">
        <is>
          <t>Интеллектуальный маркетинг. Гайд по цифровому маркетингу в эру искусственного интеллекта. Огарков А.И.</t>
        </is>
      </c>
      <c r="F43" s="13" t="inlineStr">
        <is>
          <t>См.обл.</t>
        </is>
      </c>
      <c r="G43" s="1" t="inlineStr">
        <is>
          <t>Огарков А.И.</t>
        </is>
      </c>
      <c r="H43" s="1" t="inlineStr">
        <is>
          <t>60х90/16</t>
        </is>
      </c>
      <c r="I43" s="1" t="n">
        <v>136</v>
      </c>
      <c r="J43" s="1" t="inlineStr">
        <is>
          <t>РИПОЛ Классик</t>
        </is>
      </c>
      <c r="M43" s="1" t="inlineStr">
        <is>
          <t>2025</t>
        </is>
      </c>
      <c r="N43" s="1" t="inlineStr">
        <is>
          <t>П</t>
        </is>
      </c>
      <c r="O43" s="9" t="n">
        <v>10</v>
      </c>
      <c r="P43" s="1">
        <f>ROUNDUP(910*(1-$F$3),2)</f>
        <v/>
      </c>
      <c r="Q43" s="1" t="inlineStr">
        <is>
          <t> </t>
        </is>
      </c>
      <c r="R43" s="1" t="inlineStr">
        <is>
          <t>978-5-386-15246-8</t>
        </is>
      </c>
      <c r="S43" s="1" t="inlineStr">
        <is>
          <t>9785386152468</t>
        </is>
      </c>
      <c r="T43" s="9" t="n">
        <v>10</v>
      </c>
      <c r="U43" s="1">
        <f>ROUNDUP(827.27*(1-$F$3),2)</f>
        <v/>
      </c>
      <c r="V43" s="1" t="n">
        <v>278</v>
      </c>
      <c r="Y43" s="1" t="inlineStr">
        <is>
          <t>Интеллектуальный маркетинг. Гайд по цифровому маркетингу в эру искусственного интеллекта</t>
        </is>
      </c>
      <c r="Z43" s="1" t="inlineStr">
        <is>
          <t>16+</t>
        </is>
      </c>
      <c r="AA43" s="12" t="n">
        <v>45469</v>
      </c>
      <c r="AB43" s="1" t="inlineStr">
        <is>
          <t>Экономика. Экономические науки</t>
        </is>
      </c>
      <c r="AC43" s="1" t="inlineStr">
        <is>
          <t>Маркетинг. Реклама. Связи с общественностью</t>
        </is>
      </c>
      <c r="AD43" s="1" t="inlineStr">
        <is>
          <t>Маркетинг (общие вопросы)</t>
        </is>
      </c>
      <c r="AE43" s="1" t="inlineStr">
        <is>
          <t>офсетная</t>
        </is>
      </c>
      <c r="AG43" s="1" t="n">
        <v>11392320</v>
      </c>
      <c r="AI43" s="1" t="inlineStr">
        <is>
          <t>4901990000</t>
        </is>
      </c>
    </row>
    <row r="44" customFormat="1" s="1">
      <c r="C44" s="1" t="inlineStr">
        <is>
          <t xml:space="preserve">10378310            </t>
        </is>
      </c>
      <c r="E44" s="1" t="inlineStr">
        <is>
          <t>Искусство Меча Жизни. Кацудзин Кен. Кострикин А.И., Линдер И.Б.</t>
        </is>
      </c>
      <c r="F44" s="13" t="inlineStr">
        <is>
          <t>См.обл.</t>
        </is>
      </c>
      <c r="G44" s="1" t="inlineStr">
        <is>
          <t>Кострикин А.И., Линдер И.Б.</t>
        </is>
      </c>
      <c r="H44" s="1" t="inlineStr">
        <is>
          <t>60х90/16</t>
        </is>
      </c>
      <c r="I44" s="1" t="n">
        <v>488</v>
      </c>
      <c r="J44" s="1" t="inlineStr">
        <is>
          <t>РИПОЛ Классик</t>
        </is>
      </c>
      <c r="K44" s="1" t="inlineStr">
        <is>
          <t>RUGRAM_РИПОЛ Классик</t>
        </is>
      </c>
      <c r="M44" s="1" t="inlineStr">
        <is>
          <t>2022</t>
        </is>
      </c>
      <c r="N44" s="1" t="inlineStr">
        <is>
          <t>П</t>
        </is>
      </c>
      <c r="O44" s="9" t="n">
        <v>8</v>
      </c>
      <c r="P44" s="1">
        <f>ROUNDUP(1750*(1-$F$3),2)</f>
        <v/>
      </c>
      <c r="Q44" s="1" t="inlineStr">
        <is>
          <t> </t>
        </is>
      </c>
      <c r="R44" s="1" t="inlineStr">
        <is>
          <t>978-5-386-14734-1</t>
        </is>
      </c>
      <c r="S44" s="1" t="inlineStr">
        <is>
          <t>9785386147341</t>
        </is>
      </c>
      <c r="T44" s="9" t="n">
        <v>10</v>
      </c>
      <c r="U44" s="1">
        <f>ROUNDUP(1590.91*(1-$F$3),2)</f>
        <v/>
      </c>
      <c r="V44" s="1" t="n">
        <v>706</v>
      </c>
      <c r="Y44" s="1" t="inlineStr">
        <is>
          <t>Искусство Меча Жизни. Кацудзин Кен</t>
        </is>
      </c>
      <c r="Z44" s="1" t="inlineStr">
        <is>
          <t>16+</t>
        </is>
      </c>
      <c r="AA44" s="12" t="n">
        <v>44635</v>
      </c>
      <c r="AB44" s="1" t="inlineStr">
        <is>
          <t>Гуманитарные науки</t>
        </is>
      </c>
      <c r="AC44" s="1" t="inlineStr">
        <is>
          <t>Философские науки</t>
        </is>
      </c>
      <c r="AD44" s="1" t="inlineStr">
        <is>
          <t>Прикладная философия</t>
        </is>
      </c>
      <c r="AE44" s="1" t="inlineStr">
        <is>
          <t>офсетная</t>
        </is>
      </c>
      <c r="AG44" s="1" t="n">
        <v>10378310</v>
      </c>
      <c r="AI44" s="1" t="inlineStr">
        <is>
          <t>4901990000</t>
        </is>
      </c>
    </row>
    <row r="45" customFormat="1" s="1">
      <c r="C45" s="1" t="inlineStr">
        <is>
          <t xml:space="preserve">11962330            </t>
        </is>
      </c>
      <c r="E45" s="1" t="inlineStr">
        <is>
          <t>Искушение искусственным интеллектом. Ильинский А.И.</t>
        </is>
      </c>
      <c r="F45" s="13" t="inlineStr">
        <is>
          <t>См.обл.</t>
        </is>
      </c>
      <c r="G45" s="1" t="inlineStr">
        <is>
          <t>Ильинский А.И.</t>
        </is>
      </c>
      <c r="H45" s="1" t="inlineStr">
        <is>
          <t>84х108/32</t>
        </is>
      </c>
      <c r="I45" s="1" t="n">
        <v>160</v>
      </c>
      <c r="J45" s="1" t="inlineStr">
        <is>
          <t>РИПОЛ Классик</t>
        </is>
      </c>
      <c r="M45" s="1" t="inlineStr">
        <is>
          <t>2026</t>
        </is>
      </c>
      <c r="N45" s="1" t="inlineStr">
        <is>
          <t>П</t>
        </is>
      </c>
      <c r="O45" s="9" t="n">
        <v>20</v>
      </c>
      <c r="P45" s="1">
        <f>ROUNDUP(900*(1-$F$3),2)</f>
        <v/>
      </c>
      <c r="Q45" s="1" t="inlineStr">
        <is>
          <t> </t>
        </is>
      </c>
      <c r="R45" s="1" t="inlineStr">
        <is>
          <t>978-5-386-15564-3</t>
        </is>
      </c>
      <c r="S45" s="1" t="inlineStr">
        <is>
          <t>9785386155643</t>
        </is>
      </c>
      <c r="T45" s="9" t="n">
        <v>10</v>
      </c>
      <c r="U45" s="1">
        <f>ROUNDUP(818.18*(1-$F$3),2)</f>
        <v/>
      </c>
      <c r="V45" s="1" t="n">
        <v>259</v>
      </c>
      <c r="Y45" s="1" t="inlineStr">
        <is>
          <t>Искушение искусственным интеллектом</t>
        </is>
      </c>
      <c r="Z45" s="1" t="inlineStr">
        <is>
          <t>12+</t>
        </is>
      </c>
      <c r="AA45" s="12" t="n">
        <v>45993</v>
      </c>
      <c r="AB45" s="1" t="inlineStr">
        <is>
          <t>Компьютерная литература</t>
        </is>
      </c>
      <c r="AC45" s="1" t="inlineStr">
        <is>
          <t>Информатика. Информационные технологии</t>
        </is>
      </c>
      <c r="AD45" s="1" t="inlineStr">
        <is>
          <t>Нейросети, искусственный интеллект</t>
        </is>
      </c>
      <c r="AE45" s="1" t="inlineStr">
        <is>
          <t>офсетная</t>
        </is>
      </c>
      <c r="AG45" s="1" t="n">
        <v>11962330</v>
      </c>
      <c r="AI45" s="1" t="inlineStr">
        <is>
          <t>4901990000</t>
        </is>
      </c>
    </row>
    <row r="46" customFormat="1" s="1">
      <c r="C46" s="1" t="inlineStr">
        <is>
          <t xml:space="preserve">11293150            </t>
        </is>
      </c>
      <c r="E46" s="1" t="inlineStr">
        <is>
          <t>История масонов в Китае. Великий Архитектор для Поднебесной. Маслов А.А.</t>
        </is>
      </c>
      <c r="F46" s="13" t="inlineStr">
        <is>
          <t>См.обл.</t>
        </is>
      </c>
      <c r="G46" s="1" t="inlineStr">
        <is>
          <t>Маслов А.А.</t>
        </is>
      </c>
      <c r="H46" s="1" t="inlineStr">
        <is>
          <t>60х90/16</t>
        </is>
      </c>
      <c r="I46" s="1" t="n">
        <v>432</v>
      </c>
      <c r="J46" s="1" t="inlineStr">
        <is>
          <t>РИПОЛ Классик</t>
        </is>
      </c>
      <c r="M46" s="1" t="inlineStr">
        <is>
          <t>2024</t>
        </is>
      </c>
      <c r="N46" s="1" t="inlineStr">
        <is>
          <t>П</t>
        </is>
      </c>
      <c r="O46" s="9" t="n">
        <v>8</v>
      </c>
      <c r="P46" s="1">
        <f>ROUNDUP(1290*(1-$F$3),2)</f>
        <v/>
      </c>
      <c r="Q46" s="1" t="inlineStr">
        <is>
          <t> </t>
        </is>
      </c>
      <c r="R46" s="1" t="inlineStr">
        <is>
          <t>978-5-386-15184-3</t>
        </is>
      </c>
      <c r="S46" s="1" t="inlineStr">
        <is>
          <t>9785386151843</t>
        </is>
      </c>
      <c r="T46" s="9" t="n">
        <v>10</v>
      </c>
      <c r="U46" s="1">
        <f>ROUNDUP(1172.73*(1-$F$3),2)</f>
        <v/>
      </c>
      <c r="V46" s="1" t="n">
        <v>516</v>
      </c>
      <c r="Y46" s="1" t="inlineStr">
        <is>
          <t>История масонов в Китае. Великий Архитектор для Поднебесной</t>
        </is>
      </c>
      <c r="Z46" s="1" t="inlineStr">
        <is>
          <t>16+</t>
        </is>
      </c>
      <c r="AA46" s="12" t="n">
        <v>45439</v>
      </c>
      <c r="AB46" s="1" t="inlineStr">
        <is>
          <t>Религии. Эзотерика. Оккультизм</t>
        </is>
      </c>
      <c r="AC46" s="1" t="inlineStr">
        <is>
          <t>Другие религии и культы</t>
        </is>
      </c>
      <c r="AD46" s="1" t="inlineStr">
        <is>
          <t>Тайные религиозные общества и ордена</t>
        </is>
      </c>
      <c r="AE46" s="1" t="inlineStr">
        <is>
          <t>офсетная</t>
        </is>
      </c>
      <c r="AG46" s="1" t="n">
        <v>11293150</v>
      </c>
      <c r="AI46" s="1" t="inlineStr">
        <is>
          <t>4901990000</t>
        </is>
      </c>
      <c r="AJ46" s="1" t="inlineStr">
        <is>
          <t>Зпв</t>
        </is>
      </c>
    </row>
    <row r="47" customFormat="1" s="1">
      <c r="C47" s="1" t="inlineStr">
        <is>
          <t xml:space="preserve">11838520            </t>
        </is>
      </c>
      <c r="E47" s="1" t="inlineStr">
        <is>
          <t>История одной апатии. Переверзев С.</t>
        </is>
      </c>
      <c r="F47" s="13" t="inlineStr">
        <is>
          <t>См.обл.</t>
        </is>
      </c>
      <c r="G47" s="1" t="inlineStr">
        <is>
          <t>Переверзев С.</t>
        </is>
      </c>
      <c r="H47" s="1" t="inlineStr">
        <is>
          <t>60х90/16</t>
        </is>
      </c>
      <c r="I47" s="1" t="n">
        <v>240</v>
      </c>
      <c r="J47" s="1" t="inlineStr">
        <is>
          <t>РИПОЛ Классик</t>
        </is>
      </c>
      <c r="M47" s="1" t="inlineStr">
        <is>
          <t>2025</t>
        </is>
      </c>
      <c r="N47" s="1" t="inlineStr">
        <is>
          <t>П</t>
        </is>
      </c>
      <c r="O47" s="9" t="n">
        <v>10</v>
      </c>
      <c r="P47" s="1">
        <f>ROUNDUP(1000*(1-$F$3),2)</f>
        <v/>
      </c>
      <c r="Q47" s="1" t="inlineStr">
        <is>
          <t> </t>
        </is>
      </c>
      <c r="R47" s="1" t="inlineStr">
        <is>
          <t>978-5-386-15481-3</t>
        </is>
      </c>
      <c r="S47" s="1" t="inlineStr">
        <is>
          <t>9785386154813</t>
        </is>
      </c>
      <c r="T47" s="9" t="n">
        <v>10</v>
      </c>
      <c r="U47" s="1">
        <f>ROUNDUP(909.09*(1-$F$3),2)</f>
        <v/>
      </c>
      <c r="V47" s="1" t="n">
        <v>341</v>
      </c>
      <c r="Y47" s="1" t="inlineStr">
        <is>
          <t>История одной апатии</t>
        </is>
      </c>
      <c r="Z47" s="1" t="inlineStr">
        <is>
          <t>16+</t>
        </is>
      </c>
      <c r="AA47" s="12" t="n">
        <v>45881</v>
      </c>
      <c r="AB47" s="1" t="inlineStr">
        <is>
          <t>Художественная литература</t>
        </is>
      </c>
      <c r="AC47" s="1" t="inlineStr">
        <is>
          <t>Русская литература</t>
        </is>
      </c>
      <c r="AD47" s="1" t="inlineStr">
        <is>
          <t>Современная литература</t>
        </is>
      </c>
      <c r="AE47" s="1" t="inlineStr">
        <is>
          <t>офсетная</t>
        </is>
      </c>
      <c r="AG47" s="1" t="n">
        <v>11838520</v>
      </c>
      <c r="AI47" s="1" t="inlineStr">
        <is>
          <t>4901990000</t>
        </is>
      </c>
    </row>
    <row r="48" customFormat="1" s="1">
      <c r="C48" s="1" t="inlineStr">
        <is>
          <t xml:space="preserve">12082460            </t>
        </is>
      </c>
      <c r="E48" s="1" t="inlineStr">
        <is>
          <t>Исцеление. Андилевко И.Г.</t>
        </is>
      </c>
      <c r="F48" s="13" t="inlineStr">
        <is>
          <t>См.обл.</t>
        </is>
      </c>
      <c r="G48" s="1" t="inlineStr">
        <is>
          <t>Андилевко И.Г.</t>
        </is>
      </c>
      <c r="H48" s="1" t="inlineStr">
        <is>
          <t>60х90/16</t>
        </is>
      </c>
      <c r="I48" s="1" t="n">
        <v>344</v>
      </c>
      <c r="J48" s="1" t="inlineStr">
        <is>
          <t>РИПОЛ Классик</t>
        </is>
      </c>
      <c r="M48" s="1" t="inlineStr">
        <is>
          <t>2026</t>
        </is>
      </c>
      <c r="N48" s="1" t="inlineStr">
        <is>
          <t>О</t>
        </is>
      </c>
      <c r="O48" s="9" t="n">
        <v>10</v>
      </c>
      <c r="P48" s="1">
        <f>ROUNDUP(950*(1-$F$3),2)</f>
        <v/>
      </c>
      <c r="Q48" s="1" t="inlineStr">
        <is>
          <t> </t>
        </is>
      </c>
      <c r="R48" s="1" t="inlineStr">
        <is>
          <t>978-5-386-15589-6</t>
        </is>
      </c>
      <c r="S48" s="1" t="inlineStr">
        <is>
          <t>9785386155896</t>
        </is>
      </c>
      <c r="T48" s="9" t="n">
        <v>10</v>
      </c>
      <c r="U48" s="1">
        <f>ROUNDUP(863.64*(1-$F$3),2)</f>
        <v/>
      </c>
      <c r="V48" s="1" t="n">
        <v>431</v>
      </c>
      <c r="Y48" s="1" t="inlineStr">
        <is>
          <t>Исцеление</t>
        </is>
      </c>
      <c r="Z48" s="1" t="inlineStr">
        <is>
          <t>16+</t>
        </is>
      </c>
      <c r="AA48" s="12" t="n">
        <v>46119</v>
      </c>
      <c r="AB48" s="1" t="inlineStr">
        <is>
          <t>Художественная литература</t>
        </is>
      </c>
      <c r="AC48" s="1" t="inlineStr">
        <is>
          <t>Русская литература</t>
        </is>
      </c>
      <c r="AD48" s="1" t="inlineStr">
        <is>
          <t>Современная литература</t>
        </is>
      </c>
      <c r="AE48" s="1" t="inlineStr">
        <is>
          <t>офсетная</t>
        </is>
      </c>
      <c r="AG48" s="1" t="n">
        <v>12082460</v>
      </c>
      <c r="AI48" s="1" t="inlineStr">
        <is>
          <t>4901990000</t>
        </is>
      </c>
    </row>
    <row r="49" customFormat="1" s="1">
      <c r="C49" s="1" t="inlineStr">
        <is>
          <t xml:space="preserve">12171940            </t>
        </is>
      </c>
      <c r="E49" s="1" t="inlineStr">
        <is>
          <t>Квартет Кандинской. Штерн С.В.</t>
        </is>
      </c>
      <c r="F49" s="13" t="inlineStr">
        <is>
          <t>См.обл.</t>
        </is>
      </c>
      <c r="G49" s="1" t="inlineStr">
        <is>
          <t>Штерн С.В.</t>
        </is>
      </c>
      <c r="H49" s="1" t="inlineStr">
        <is>
          <t>60х90/16</t>
        </is>
      </c>
      <c r="I49" s="1" t="n">
        <v>304</v>
      </c>
      <c r="J49" s="1" t="inlineStr">
        <is>
          <t>РИПОЛ Классик</t>
        </is>
      </c>
      <c r="M49" s="1" t="inlineStr">
        <is>
          <t>2026</t>
        </is>
      </c>
      <c r="N49" s="1" t="inlineStr">
        <is>
          <t>П</t>
        </is>
      </c>
      <c r="O49" s="9" t="n">
        <v>12</v>
      </c>
      <c r="P49" s="1">
        <f>ROUNDUP(990*(1-$F$3),2)</f>
        <v/>
      </c>
      <c r="Q49" s="1" t="inlineStr">
        <is>
          <t> </t>
        </is>
      </c>
      <c r="R49" s="1" t="inlineStr">
        <is>
          <t>978-5-386-15633-6</t>
        </is>
      </c>
      <c r="S49" s="1" t="inlineStr">
        <is>
          <t>9785386156336</t>
        </is>
      </c>
      <c r="T49" s="9" t="n">
        <v>22</v>
      </c>
      <c r="U49" s="1">
        <f>ROUNDUP(811.48*(1-$F$3),2)</f>
        <v/>
      </c>
      <c r="V49" s="1" t="n">
        <v>462</v>
      </c>
      <c r="Y49" s="1" t="inlineStr">
        <is>
          <t>Квартет Кандинской</t>
        </is>
      </c>
      <c r="Z49" s="1" t="inlineStr">
        <is>
          <t>18+</t>
        </is>
      </c>
      <c r="AA49" s="12" t="n">
        <v>46209</v>
      </c>
      <c r="AB49" s="1" t="inlineStr">
        <is>
          <t>Художественная литература</t>
        </is>
      </c>
      <c r="AC49" s="1" t="inlineStr">
        <is>
          <t>Детективы. Боевики. Триллеры</t>
        </is>
      </c>
      <c r="AD49" s="1" t="inlineStr">
        <is>
          <t>Триллеры</t>
        </is>
      </c>
      <c r="AE49" s="1" t="inlineStr">
        <is>
          <t>офсетная</t>
        </is>
      </c>
      <c r="AG49" s="1" t="n">
        <v>12171940</v>
      </c>
      <c r="AI49" s="1" t="inlineStr">
        <is>
          <t>4901990000</t>
        </is>
      </c>
    </row>
    <row r="50" customFormat="1" s="1">
      <c r="C50" s="1" t="inlineStr">
        <is>
          <t xml:space="preserve">11937280            </t>
        </is>
      </c>
      <c r="E50" s="1" t="inlineStr">
        <is>
          <t>Квартет Кандинской. Штерн С.В.</t>
        </is>
      </c>
      <c r="F50" s="13" t="inlineStr">
        <is>
          <t>См.обл.</t>
        </is>
      </c>
      <c r="G50" s="1" t="inlineStr">
        <is>
          <t>Штерн С.В.</t>
        </is>
      </c>
      <c r="H50" s="1" t="inlineStr">
        <is>
          <t>60х90/16</t>
        </is>
      </c>
      <c r="I50" s="1" t="n">
        <v>304</v>
      </c>
      <c r="J50" s="1" t="inlineStr">
        <is>
          <t>РИПОЛ Классик</t>
        </is>
      </c>
      <c r="M50" s="1" t="inlineStr">
        <is>
          <t>2026</t>
        </is>
      </c>
      <c r="N50" s="1" t="inlineStr">
        <is>
          <t>П</t>
        </is>
      </c>
      <c r="O50" s="9" t="n">
        <v>8</v>
      </c>
      <c r="P50" s="1">
        <f>ROUNDUP(950*(1-$F$3),2)</f>
        <v/>
      </c>
      <c r="Q50" s="1" t="inlineStr">
        <is>
          <t> </t>
        </is>
      </c>
      <c r="R50" s="1" t="inlineStr">
        <is>
          <t>978-5-386-15513-1</t>
        </is>
      </c>
      <c r="S50" s="1" t="inlineStr">
        <is>
          <t>9785386155131</t>
        </is>
      </c>
      <c r="T50" s="9" t="n">
        <v>22</v>
      </c>
      <c r="U50" s="1">
        <f>ROUNDUP(778.69*(1-$F$3),2)</f>
        <v/>
      </c>
      <c r="V50" s="1" t="n">
        <v>457</v>
      </c>
      <c r="Y50" s="1" t="inlineStr">
        <is>
          <t>Квартет Кандинской</t>
        </is>
      </c>
      <c r="Z50" s="1" t="inlineStr">
        <is>
          <t>18+</t>
        </is>
      </c>
      <c r="AA50" s="12" t="n">
        <v>45973</v>
      </c>
      <c r="AB50" s="1" t="inlineStr">
        <is>
          <t>Художественная литература</t>
        </is>
      </c>
      <c r="AC50" s="1" t="inlineStr">
        <is>
          <t>Русская литература</t>
        </is>
      </c>
      <c r="AD50" s="1" t="inlineStr">
        <is>
          <t>Современная литература</t>
        </is>
      </c>
      <c r="AE50" s="1" t="inlineStr">
        <is>
          <t>офсетная</t>
        </is>
      </c>
      <c r="AG50" s="1" t="n">
        <v>11937280</v>
      </c>
      <c r="AI50" s="1" t="inlineStr">
        <is>
          <t>4901990000</t>
        </is>
      </c>
    </row>
    <row r="51" customFormat="1" s="1">
      <c r="C51" s="1" t="inlineStr">
        <is>
          <t xml:space="preserve">12199570            </t>
        </is>
      </c>
      <c r="E51" s="1" t="inlineStr">
        <is>
          <t>Килл крик. Томас С.</t>
        </is>
      </c>
      <c r="F51" s="13" t="inlineStr">
        <is>
          <t>См.обл.</t>
        </is>
      </c>
      <c r="G51" s="1" t="inlineStr">
        <is>
          <t>Томас С.</t>
        </is>
      </c>
      <c r="H51" s="1" t="inlineStr">
        <is>
          <t>84х108/32</t>
        </is>
      </c>
      <c r="I51" s="1" t="n">
        <v>592</v>
      </c>
      <c r="J51" s="1" t="inlineStr">
        <is>
          <t>РИПОЛ Классик</t>
        </is>
      </c>
      <c r="M51" s="1" t="inlineStr">
        <is>
          <t>2026</t>
        </is>
      </c>
      <c r="N51" s="1" t="inlineStr">
        <is>
          <t>П</t>
        </is>
      </c>
      <c r="O51" s="9" t="n">
        <v>8</v>
      </c>
      <c r="P51" s="1">
        <f>ROUNDUP(1290*(1-$F$3),2)</f>
        <v/>
      </c>
      <c r="Q51" s="1" t="inlineStr">
        <is>
          <t> </t>
        </is>
      </c>
      <c r="R51" s="1" t="inlineStr">
        <is>
          <t>978-5-386-15655-8</t>
        </is>
      </c>
      <c r="S51" s="1" t="inlineStr">
        <is>
          <t>9785386156558</t>
        </is>
      </c>
      <c r="T51" s="9" t="n">
        <v>22</v>
      </c>
      <c r="U51" s="1">
        <f>ROUNDUP(1057.38*(1-$F$3),2)</f>
        <v/>
      </c>
      <c r="V51" s="1" t="n">
        <v>599</v>
      </c>
      <c r="Y51" s="1" t="inlineStr">
        <is>
          <t>Килл крик</t>
        </is>
      </c>
      <c r="Z51" s="1" t="inlineStr">
        <is>
          <t>18+</t>
        </is>
      </c>
      <c r="AA51" s="12" t="n">
        <v>46212</v>
      </c>
      <c r="AB51" s="1" t="inlineStr">
        <is>
          <t>Художественная литература</t>
        </is>
      </c>
      <c r="AC51" s="1" t="inlineStr">
        <is>
          <t>Фантастика. Мистика. Ужасы</t>
        </is>
      </c>
      <c r="AD51" s="1" t="inlineStr">
        <is>
          <t>Мистика. Ужасы</t>
        </is>
      </c>
      <c r="AE51" s="1" t="inlineStr">
        <is>
          <t>офсетная</t>
        </is>
      </c>
      <c r="AG51" s="1" t="n">
        <v>12199570</v>
      </c>
      <c r="AI51" s="1" t="inlineStr">
        <is>
          <t>4901990000</t>
        </is>
      </c>
      <c r="AJ51" s="1" t="inlineStr">
        <is>
          <t>Зпв</t>
        </is>
      </c>
    </row>
    <row r="52" customFormat="1" s="1">
      <c r="C52" s="1" t="inlineStr">
        <is>
          <t xml:space="preserve">11428720            </t>
        </is>
      </c>
      <c r="E52" s="1" t="inlineStr">
        <is>
          <t>Китайский мир. Корни и крона. Малявин В.В.</t>
        </is>
      </c>
      <c r="F52" s="13" t="inlineStr">
        <is>
          <t>См.обл.</t>
        </is>
      </c>
      <c r="G52" s="1" t="inlineStr">
        <is>
          <t>Малявин В.В.</t>
        </is>
      </c>
      <c r="H52" s="1" t="inlineStr">
        <is>
          <t>70х100/16</t>
        </is>
      </c>
      <c r="I52" s="1" t="n">
        <v>776</v>
      </c>
      <c r="J52" s="1" t="inlineStr">
        <is>
          <t>РИПОЛ Классик</t>
        </is>
      </c>
      <c r="M52" s="1" t="inlineStr">
        <is>
          <t>2026</t>
        </is>
      </c>
      <c r="N52" s="1" t="inlineStr">
        <is>
          <t>П</t>
        </is>
      </c>
      <c r="O52" s="9" t="n">
        <v>6</v>
      </c>
      <c r="P52" s="1">
        <f>ROUNDUP(2670*(1-$F$3),2)</f>
        <v/>
      </c>
      <c r="Q52" s="1" t="inlineStr">
        <is>
          <t> </t>
        </is>
      </c>
      <c r="R52" s="1" t="inlineStr">
        <is>
          <t>978-5-386-15292-5</t>
        </is>
      </c>
      <c r="S52" s="1" t="inlineStr">
        <is>
          <t>9785386152925</t>
        </is>
      </c>
      <c r="T52" s="9" t="n">
        <v>10</v>
      </c>
      <c r="U52" s="1">
        <f>ROUNDUP(2427.27*(1-$F$3),2)</f>
        <v/>
      </c>
      <c r="V52" s="1" t="n">
        <v>1151</v>
      </c>
      <c r="Y52" s="1" t="inlineStr">
        <is>
          <t>Китайский мир. Корни и крона</t>
        </is>
      </c>
      <c r="Z52" s="1" t="inlineStr">
        <is>
          <t>12+</t>
        </is>
      </c>
      <c r="AA52" s="12" t="n">
        <v>45552</v>
      </c>
      <c r="AB52" s="1" t="inlineStr">
        <is>
          <t>Гуманитарные науки</t>
        </is>
      </c>
      <c r="AC52" s="1" t="inlineStr">
        <is>
          <t>История</t>
        </is>
      </c>
      <c r="AD52" s="1" t="inlineStr">
        <is>
          <t>История отдельных стран</t>
        </is>
      </c>
      <c r="AE52" s="1" t="inlineStr">
        <is>
          <t>офсетная</t>
        </is>
      </c>
      <c r="AG52" s="1" t="n">
        <v>11428720</v>
      </c>
      <c r="AI52" s="1" t="inlineStr">
        <is>
          <t>4901990000</t>
        </is>
      </c>
    </row>
    <row r="53" customFormat="1" s="1">
      <c r="C53" s="1" t="inlineStr">
        <is>
          <t xml:space="preserve">10452500            </t>
        </is>
      </c>
      <c r="E53" s="1" t="inlineStr">
        <is>
          <t xml:space="preserve">Классическое таро Артура Уэйта (78 карт). </t>
        </is>
      </c>
      <c r="F53" s="13" t="inlineStr">
        <is>
          <t>См.обл.</t>
        </is>
      </c>
      <c r="H53" s="1" t="inlineStr">
        <is>
          <t>84х108/32</t>
        </is>
      </c>
      <c r="I53" s="1" t="n">
        <v>78</v>
      </c>
      <c r="J53" s="1" t="inlineStr">
        <is>
          <t>РИПОЛ Классик</t>
        </is>
      </c>
      <c r="M53" s="1" t="inlineStr">
        <is>
          <t>2022</t>
        </is>
      </c>
      <c r="N53" s="1" t="inlineStr">
        <is>
          <t>П</t>
        </is>
      </c>
      <c r="O53" s="9" t="n">
        <v>42</v>
      </c>
      <c r="P53" s="1">
        <f>ROUNDUP(1751.9*(1-$F$3),2)</f>
        <v/>
      </c>
      <c r="Q53" s="1" t="inlineStr">
        <is>
          <t> </t>
        </is>
      </c>
      <c r="R53" s="1" t="inlineStr">
        <is>
          <t>978-5-386-14781-5</t>
        </is>
      </c>
      <c r="S53" s="1" t="inlineStr">
        <is>
          <t>9785386147815</t>
        </is>
      </c>
      <c r="T53" s="9" t="n">
        <v>22</v>
      </c>
      <c r="U53" s="1">
        <f>ROUNDUP(1435.98*(1-$F$3),2)</f>
        <v/>
      </c>
      <c r="V53" s="1" t="n">
        <v>188</v>
      </c>
      <c r="Y53" s="1" t="inlineStr">
        <is>
          <t>Классическое таро Артура Уэйта (78 карт)</t>
        </is>
      </c>
      <c r="Z53" s="1" t="inlineStr">
        <is>
          <t>16+</t>
        </is>
      </c>
      <c r="AA53" s="12" t="n">
        <v>44728</v>
      </c>
      <c r="AB53" s="1" t="inlineStr">
        <is>
          <t>Религии. Эзотерика. Оккультизм</t>
        </is>
      </c>
      <c r="AC53" s="1" t="inlineStr">
        <is>
          <t>Эзотерика. Парапсихология. Тайны</t>
        </is>
      </c>
      <c r="AD53" s="1" t="inlineStr">
        <is>
          <t>Гадания. Толкование снов. Тайны имени</t>
        </is>
      </c>
      <c r="AE53" s="1" t="inlineStr">
        <is>
          <t>картон</t>
        </is>
      </c>
      <c r="AG53" s="1" t="n">
        <v>10452500</v>
      </c>
      <c r="AI53" s="1" t="inlineStr">
        <is>
          <t>4901100000</t>
        </is>
      </c>
    </row>
    <row r="54" customFormat="1" s="1">
      <c r="C54" s="1" t="inlineStr">
        <is>
          <t xml:space="preserve">12140300            </t>
        </is>
      </c>
      <c r="E54" s="1" t="inlineStr">
        <is>
          <t>Координаты "Вернусь": повесть. Кандыбович Л.В.</t>
        </is>
      </c>
      <c r="F54" s="13" t="inlineStr">
        <is>
          <t>См.обл.</t>
        </is>
      </c>
      <c r="G54" s="1" t="inlineStr">
        <is>
          <t>Кандыбович Л.В.</t>
        </is>
      </c>
      <c r="H54" s="1" t="inlineStr">
        <is>
          <t>60х90/16</t>
        </is>
      </c>
      <c r="I54" s="1" t="n">
        <v>240</v>
      </c>
      <c r="J54" s="1" t="inlineStr">
        <is>
          <t>РИПОЛ Классик</t>
        </is>
      </c>
      <c r="M54" s="1" t="inlineStr">
        <is>
          <t>2026</t>
        </is>
      </c>
      <c r="N54" s="1" t="inlineStr">
        <is>
          <t>П</t>
        </is>
      </c>
      <c r="O54" s="9" t="n">
        <v>10</v>
      </c>
      <c r="P54" s="1">
        <f>ROUNDUP(850*(1-$F$3),2)</f>
        <v/>
      </c>
      <c r="Q54" s="1" t="inlineStr">
        <is>
          <t> </t>
        </is>
      </c>
      <c r="R54" s="1" t="inlineStr">
        <is>
          <t>978-5-386-15618-3</t>
        </is>
      </c>
      <c r="S54" s="1" t="inlineStr">
        <is>
          <t>9785386156183</t>
        </is>
      </c>
      <c r="T54" s="9" t="n">
        <v>10</v>
      </c>
      <c r="U54" s="1">
        <f>ROUNDUP(772.73*(1-$F$3),2)</f>
        <v/>
      </c>
      <c r="V54" s="1" t="n">
        <v>382</v>
      </c>
      <c r="Y54" s="1" t="inlineStr">
        <is>
          <t>Координаты "Вернусь": повесть</t>
        </is>
      </c>
      <c r="Z54" s="1" t="inlineStr">
        <is>
          <t>12+</t>
        </is>
      </c>
      <c r="AA54" s="12" t="n">
        <v>46168</v>
      </c>
      <c r="AB54" s="1" t="inlineStr">
        <is>
          <t>Детская литература</t>
        </is>
      </c>
      <c r="AC54" s="1" t="inlineStr">
        <is>
          <t>Художественная литература</t>
        </is>
      </c>
      <c r="AD54" s="1" t="inlineStr">
        <is>
          <t>Проза. Драматургия</t>
        </is>
      </c>
      <c r="AE54" s="1" t="inlineStr">
        <is>
          <t>офсетная</t>
        </is>
      </c>
      <c r="AG54" s="1" t="n">
        <v>12140300</v>
      </c>
      <c r="AI54" s="1" t="inlineStr">
        <is>
          <t>4901990000</t>
        </is>
      </c>
    </row>
    <row r="55" customFormat="1" s="1">
      <c r="C55" s="1" t="inlineStr">
        <is>
          <t>11375830</t>
        </is>
      </c>
      <c r="E55" s="1" t="inlineStr">
        <is>
          <t>Крик потревоженной тишины: В 2 кн. (комплект из 2-х книг). Дубравин М.</t>
        </is>
      </c>
      <c r="F55" s="13" t="inlineStr">
        <is>
          <t>См.обл.</t>
        </is>
      </c>
      <c r="G55" s="1" t="inlineStr">
        <is>
          <t>Дубравин М.</t>
        </is>
      </c>
      <c r="H55" s="1" t="inlineStr">
        <is>
          <t>60х90/16</t>
        </is>
      </c>
      <c r="I55" s="1" t="n">
        <v>1312</v>
      </c>
      <c r="J55" s="1" t="inlineStr">
        <is>
          <t>РИПОЛ Классик</t>
        </is>
      </c>
      <c r="M55" s="1" t="inlineStr">
        <is>
          <t>2024</t>
        </is>
      </c>
      <c r="N55" s="1" t="inlineStr">
        <is>
          <t>П</t>
        </is>
      </c>
      <c r="O55" s="9" t="n"/>
      <c r="P55" s="1">
        <f>ROUNDUP(2580*(1-$F$3),2)</f>
        <v/>
      </c>
      <c r="Q55" s="1" t="inlineStr">
        <is>
          <t> </t>
        </is>
      </c>
      <c r="R55" s="1" t="inlineStr">
        <is>
          <t>978-5-386-15204-8</t>
        </is>
      </c>
      <c r="S55" s="1" t="inlineStr">
        <is>
          <t>9785386152048</t>
        </is>
      </c>
      <c r="T55" s="9" t="n">
        <v>10</v>
      </c>
      <c r="U55" s="1">
        <f>ROUNDUP(2345.45*(1-$F$3),2)</f>
        <v/>
      </c>
      <c r="V55" s="1" t="n">
        <v>1186</v>
      </c>
      <c r="Y55" s="1" t="inlineStr">
        <is>
          <t>Крик потревоженной тишины: В 2 кн. (комплект из 2-х книг)</t>
        </is>
      </c>
      <c r="Z55" s="1" t="inlineStr">
        <is>
          <t>12+</t>
        </is>
      </c>
      <c r="AA55" s="12" t="n">
        <v>45446</v>
      </c>
      <c r="AB55" s="1" t="inlineStr">
        <is>
          <t>Художественная литература</t>
        </is>
      </c>
      <c r="AC55" s="1" t="inlineStr">
        <is>
          <t>Фантастика. Мистика. Ужасы</t>
        </is>
      </c>
      <c r="AD55" s="1" t="inlineStr">
        <is>
          <t>Русская фантастика</t>
        </is>
      </c>
      <c r="AE55" s="1" t="inlineStr">
        <is>
          <t>офсетная</t>
        </is>
      </c>
      <c r="AG55" s="1" t="n">
        <v>11375830</v>
      </c>
      <c r="AI55" s="1" t="inlineStr">
        <is>
          <t>4901990000</t>
        </is>
      </c>
    </row>
    <row r="56" customFormat="1" s="1">
      <c r="C56" s="1" t="inlineStr">
        <is>
          <t xml:space="preserve">11862610            </t>
        </is>
      </c>
      <c r="E56" s="1" t="inlineStr">
        <is>
          <t>Кровавые скрижали японского милитаризма. Токийский и Хабаровский процессы. Звягинцев А.Г.</t>
        </is>
      </c>
      <c r="F56" s="13" t="inlineStr">
        <is>
          <t>См.обл.</t>
        </is>
      </c>
      <c r="G56" s="1" t="inlineStr">
        <is>
          <t>Звягинцев А.Г.</t>
        </is>
      </c>
      <c r="H56" s="1" t="inlineStr">
        <is>
          <t>60х90/16</t>
        </is>
      </c>
      <c r="I56" s="1" t="n">
        <v>704</v>
      </c>
      <c r="J56" s="1" t="inlineStr">
        <is>
          <t>РИПОЛ Классик</t>
        </is>
      </c>
      <c r="M56" s="1" t="inlineStr">
        <is>
          <t>2027</t>
        </is>
      </c>
      <c r="N56" s="1" t="inlineStr">
        <is>
          <t>П</t>
        </is>
      </c>
      <c r="O56" s="9" t="n">
        <v>4</v>
      </c>
      <c r="P56" s="1">
        <f>ROUNDUP(2490*(1-$F$3),2)</f>
        <v/>
      </c>
      <c r="Q56" s="1" t="inlineStr">
        <is>
          <t> </t>
        </is>
      </c>
      <c r="R56" s="1" t="inlineStr">
        <is>
          <t>978-5-386-15483-7</t>
        </is>
      </c>
      <c r="S56" s="1" t="inlineStr">
        <is>
          <t>9785386154837</t>
        </is>
      </c>
      <c r="T56" s="9" t="n">
        <v>22</v>
      </c>
      <c r="U56" s="1">
        <f>ROUNDUP(2040.98*(1-$F$3),2)</f>
        <v/>
      </c>
      <c r="V56" s="1" t="n">
        <v>922</v>
      </c>
      <c r="Y56" s="1" t="inlineStr">
        <is>
          <t>Кровавые скрижали японского милитаризма. Токийский и Хабаровский процессы</t>
        </is>
      </c>
      <c r="Z56" s="1" t="inlineStr">
        <is>
          <t>18+</t>
        </is>
      </c>
      <c r="AA56" s="12" t="n">
        <v>45895</v>
      </c>
      <c r="AB56" s="1" t="inlineStr">
        <is>
          <t>Общественные науки</t>
        </is>
      </c>
      <c r="AC56" s="1" t="inlineStr">
        <is>
          <t>Военное дело. Гражданская защита</t>
        </is>
      </c>
      <c r="AD56" s="1" t="inlineStr">
        <is>
          <t>Военная история. История военных операций. Мемуары военачальников</t>
        </is>
      </c>
      <c r="AE56" s="1" t="inlineStr">
        <is>
          <t>офсетная</t>
        </is>
      </c>
      <c r="AG56" s="1" t="n">
        <v>11862610</v>
      </c>
      <c r="AI56" s="1" t="inlineStr">
        <is>
          <t>4901990000</t>
        </is>
      </c>
      <c r="AJ56" s="1" t="inlineStr">
        <is>
          <t>Зпв</t>
        </is>
      </c>
    </row>
    <row r="57" customFormat="1" s="1">
      <c r="C57" s="1" t="inlineStr">
        <is>
          <t xml:space="preserve">11791740            </t>
        </is>
      </c>
      <c r="E57" s="1" t="inlineStr">
        <is>
          <t>Легенда о Пиросмани. Маркаров В.В</t>
        </is>
      </c>
      <c r="F57" s="13" t="inlineStr">
        <is>
          <t>См.обл.</t>
        </is>
      </c>
      <c r="G57" s="1" t="inlineStr">
        <is>
          <t>Маркаров В.В</t>
        </is>
      </c>
      <c r="H57" s="1" t="inlineStr">
        <is>
          <t>60х90/16</t>
        </is>
      </c>
      <c r="I57" s="1" t="n">
        <v>352</v>
      </c>
      <c r="J57" s="1" t="inlineStr">
        <is>
          <t>РИПОЛ Классик</t>
        </is>
      </c>
      <c r="M57" s="1" t="inlineStr">
        <is>
          <t>2025</t>
        </is>
      </c>
      <c r="N57" s="1" t="inlineStr">
        <is>
          <t>П</t>
        </is>
      </c>
      <c r="O57" s="9" t="n">
        <v>8</v>
      </c>
      <c r="P57" s="1">
        <f>ROUNDUP(1160*(1-$F$3),2)</f>
        <v/>
      </c>
      <c r="Q57" s="1" t="inlineStr">
        <is>
          <t> </t>
        </is>
      </c>
      <c r="R57" s="1" t="inlineStr">
        <is>
          <t>978-5-386-15448-6</t>
        </is>
      </c>
      <c r="S57" s="1" t="inlineStr">
        <is>
          <t>9785386154486</t>
        </is>
      </c>
      <c r="T57" s="9" t="n">
        <v>10</v>
      </c>
      <c r="U57" s="1">
        <f>ROUNDUP(1054.55*(1-$F$3),2)</f>
        <v/>
      </c>
      <c r="V57" s="1" t="n">
        <v>461</v>
      </c>
      <c r="Y57" s="1" t="inlineStr">
        <is>
          <t>Легенда о Пиросмани</t>
        </is>
      </c>
      <c r="Z57" s="1" t="inlineStr">
        <is>
          <t>12+</t>
        </is>
      </c>
      <c r="AA57" s="12" t="n">
        <v>45868</v>
      </c>
      <c r="AB57" s="1" t="inlineStr">
        <is>
          <t>Художественно-документальная проза</t>
        </is>
      </c>
      <c r="AC57" s="1" t="inlineStr">
        <is>
          <t>Биографии. Мемуары</t>
        </is>
      </c>
      <c r="AD57" s="1" t="inlineStr">
        <is>
          <t>Биографии деятелей культуры и искусства</t>
        </is>
      </c>
      <c r="AE57" s="1" t="inlineStr">
        <is>
          <t>офсетная</t>
        </is>
      </c>
      <c r="AG57" s="1" t="n">
        <v>11791740</v>
      </c>
      <c r="AI57" s="1" t="inlineStr">
        <is>
          <t>4901990000</t>
        </is>
      </c>
    </row>
    <row r="58" customFormat="1" s="1">
      <c r="C58" s="1" t="inlineStr">
        <is>
          <t xml:space="preserve">10426170            </t>
        </is>
      </c>
      <c r="E58" s="1" t="inlineStr">
        <is>
          <t>Легенды нелегальной разведки. Из истории спецслужб. Линдер И.Б.</t>
        </is>
      </c>
      <c r="F58" s="13" t="inlineStr">
        <is>
          <t>См.обл.</t>
        </is>
      </c>
      <c r="G58" s="1" t="inlineStr">
        <is>
          <t>Линдер И.Б.</t>
        </is>
      </c>
      <c r="H58" s="1" t="inlineStr">
        <is>
          <t>60х90/16</t>
        </is>
      </c>
      <c r="I58" s="1" t="n">
        <v>800</v>
      </c>
      <c r="J58" s="1" t="inlineStr">
        <is>
          <t>РИПОЛ Классик</t>
        </is>
      </c>
      <c r="M58" s="1" t="inlineStr">
        <is>
          <t>2022</t>
        </is>
      </c>
      <c r="N58" s="1" t="inlineStr">
        <is>
          <t>П</t>
        </is>
      </c>
      <c r="O58" s="9" t="n">
        <v>6</v>
      </c>
      <c r="P58" s="1">
        <f>ROUNDUP(2320*(1-$F$3),2)</f>
        <v/>
      </c>
      <c r="Q58" s="1" t="inlineStr">
        <is>
          <t> </t>
        </is>
      </c>
      <c r="R58" s="1" t="inlineStr">
        <is>
          <t>978-5-386-14777-8</t>
        </is>
      </c>
      <c r="S58" s="1" t="inlineStr">
        <is>
          <t>9785386147778</t>
        </is>
      </c>
      <c r="T58" s="9" t="n">
        <v>10</v>
      </c>
      <c r="U58" s="1">
        <f>ROUNDUP(2109.09*(1-$F$3),2)</f>
        <v/>
      </c>
      <c r="V58" s="1" t="n">
        <v>927</v>
      </c>
      <c r="Y58" s="1" t="inlineStr">
        <is>
          <t>Легенды нелегальной разведки. Из истории спецслужб</t>
        </is>
      </c>
      <c r="Z58" s="1" t="inlineStr">
        <is>
          <t>16+</t>
        </is>
      </c>
      <c r="AA58" s="12" t="n">
        <v>44676</v>
      </c>
      <c r="AB58" s="1" t="inlineStr">
        <is>
          <t>Общественные науки</t>
        </is>
      </c>
      <c r="AC58" s="1" t="inlineStr">
        <is>
          <t>Военное дело. Гражданская защита</t>
        </is>
      </c>
      <c r="AD58" s="1" t="inlineStr">
        <is>
          <t>Спецслужбы</t>
        </is>
      </c>
      <c r="AE58" s="1" t="inlineStr">
        <is>
          <t>офсетная</t>
        </is>
      </c>
      <c r="AG58" s="1" t="n">
        <v>10426170</v>
      </c>
      <c r="AI58" s="1" t="inlineStr">
        <is>
          <t>4901990000</t>
        </is>
      </c>
    </row>
    <row r="59" customFormat="1" s="1">
      <c r="C59" s="1" t="inlineStr">
        <is>
          <t xml:space="preserve">11964960            </t>
        </is>
      </c>
      <c r="E59" s="1" t="inlineStr">
        <is>
          <t>Легенды спецслужб. Люди и события. Линдер И.Б.</t>
        </is>
      </c>
      <c r="F59" s="13" t="inlineStr">
        <is>
          <t>См.обл.</t>
        </is>
      </c>
      <c r="G59" s="1" t="inlineStr">
        <is>
          <t>Линдер И.Б.</t>
        </is>
      </c>
      <c r="H59" s="1" t="inlineStr">
        <is>
          <t>60х90/16</t>
        </is>
      </c>
      <c r="I59" s="1" t="n">
        <v>416</v>
      </c>
      <c r="J59" s="1" t="inlineStr">
        <is>
          <t>РИПОЛ Классик</t>
        </is>
      </c>
      <c r="M59" s="1" t="inlineStr">
        <is>
          <t>2026</t>
        </is>
      </c>
      <c r="N59" s="1" t="inlineStr">
        <is>
          <t>П</t>
        </is>
      </c>
      <c r="O59" s="9" t="n">
        <v>5</v>
      </c>
      <c r="P59" s="1">
        <f>ROUNDUP(1560*(1-$F$3),2)</f>
        <v/>
      </c>
      <c r="Q59" s="1" t="inlineStr">
        <is>
          <t> </t>
        </is>
      </c>
      <c r="R59" s="1" t="inlineStr">
        <is>
          <t>978-5-386-15520-9</t>
        </is>
      </c>
      <c r="S59" s="1" t="inlineStr">
        <is>
          <t>9785386155209</t>
        </is>
      </c>
      <c r="T59" s="9" t="n">
        <v>10</v>
      </c>
      <c r="U59" s="1">
        <f>ROUNDUP(1418.18*(1-$F$3),2)</f>
        <v/>
      </c>
      <c r="V59" s="1" t="n">
        <v>589</v>
      </c>
      <c r="Y59" s="1" t="inlineStr">
        <is>
          <t>Легенды спецслужб. Люди и события</t>
        </is>
      </c>
      <c r="Z59" s="1" t="inlineStr">
        <is>
          <t>16+</t>
        </is>
      </c>
      <c r="AA59" s="12" t="n">
        <v>46002</v>
      </c>
      <c r="AB59" s="1" t="inlineStr">
        <is>
          <t>Общественные науки</t>
        </is>
      </c>
      <c r="AC59" s="1" t="inlineStr">
        <is>
          <t>Военное дело. Гражданская защита</t>
        </is>
      </c>
      <c r="AD59" s="1" t="inlineStr">
        <is>
          <t>Спецслужбы</t>
        </is>
      </c>
      <c r="AE59" s="1" t="inlineStr">
        <is>
          <t>офсетная</t>
        </is>
      </c>
      <c r="AG59" s="1" t="n">
        <v>11964960</v>
      </c>
      <c r="AI59" s="1" t="inlineStr">
        <is>
          <t>4901990000</t>
        </is>
      </c>
    </row>
    <row r="60" customFormat="1" s="1">
      <c r="C60" s="1" t="inlineStr">
        <is>
          <t xml:space="preserve">11419990            </t>
        </is>
      </c>
      <c r="E60" s="1" t="inlineStr">
        <is>
          <t>Лес нас найдет. Лайонс М.</t>
        </is>
      </c>
      <c r="F60" s="13" t="inlineStr">
        <is>
          <t>См.обл.</t>
        </is>
      </c>
      <c r="G60" s="1" t="inlineStr">
        <is>
          <t>Лайонс М.</t>
        </is>
      </c>
      <c r="H60" s="1" t="inlineStr">
        <is>
          <t>84х108/32</t>
        </is>
      </c>
      <c r="I60" s="1" t="n">
        <v>384</v>
      </c>
      <c r="J60" s="1" t="inlineStr">
        <is>
          <t>РИПОЛ Классик</t>
        </is>
      </c>
      <c r="M60" s="1" t="inlineStr">
        <is>
          <t>2025</t>
        </is>
      </c>
      <c r="N60" s="1" t="inlineStr">
        <is>
          <t>П</t>
        </is>
      </c>
      <c r="O60" s="9" t="n">
        <v>5</v>
      </c>
      <c r="P60" s="1">
        <f>ROUNDUP(1270*(1-$F$3),2)</f>
        <v/>
      </c>
      <c r="Q60" s="1" t="inlineStr">
        <is>
          <t> </t>
        </is>
      </c>
      <c r="R60" s="1" t="inlineStr">
        <is>
          <t>978-5-386-15287-1</t>
        </is>
      </c>
      <c r="S60" s="1" t="inlineStr">
        <is>
          <t>9785386152871</t>
        </is>
      </c>
      <c r="T60" s="9" t="n">
        <v>22</v>
      </c>
      <c r="U60" s="1">
        <f>ROUNDUP(1040.98*(1-$F$3),2)</f>
        <v/>
      </c>
      <c r="V60" s="1" t="n">
        <v>418</v>
      </c>
      <c r="Y60" s="1" t="inlineStr">
        <is>
          <t>Лес нас найдет</t>
        </is>
      </c>
      <c r="Z60" s="1" t="inlineStr">
        <is>
          <t>18+</t>
        </is>
      </c>
      <c r="AA60" s="12" t="n">
        <v>45526</v>
      </c>
      <c r="AB60" s="1" t="inlineStr">
        <is>
          <t>Художественная литература</t>
        </is>
      </c>
      <c r="AC60" s="1" t="inlineStr">
        <is>
          <t>Детективы. Боевики. Триллеры</t>
        </is>
      </c>
      <c r="AD60" s="1" t="inlineStr">
        <is>
          <t>Триллеры</t>
        </is>
      </c>
      <c r="AE60" s="1" t="inlineStr">
        <is>
          <t>офсетная</t>
        </is>
      </c>
      <c r="AG60" s="1" t="n">
        <v>11419990</v>
      </c>
      <c r="AI60" s="1" t="inlineStr">
        <is>
          <t>4901990000</t>
        </is>
      </c>
      <c r="AJ60" s="1" t="inlineStr">
        <is>
          <t>Зпв</t>
        </is>
      </c>
    </row>
    <row r="61" customFormat="1" s="11">
      <c r="A61" s="11" t="inlineStr">
        <is>
          <t>нов</t>
        </is>
      </c>
      <c r="C61" s="11" t="inlineStr">
        <is>
          <t xml:space="preserve">12223750            </t>
        </is>
      </c>
      <c r="E61" s="11" t="inlineStr">
        <is>
          <t>Ложь за ложью: роман. Става С</t>
        </is>
      </c>
      <c r="F61" s="14" t="inlineStr">
        <is>
          <t>См.обл.</t>
        </is>
      </c>
      <c r="G61" s="11" t="inlineStr">
        <is>
          <t>Става С</t>
        </is>
      </c>
      <c r="H61" s="11" t="inlineStr">
        <is>
          <t>60х90/16</t>
        </is>
      </c>
      <c r="I61" s="11" t="n">
        <v>416</v>
      </c>
      <c r="J61" s="11" t="inlineStr">
        <is>
          <t>РИПОЛ Классик</t>
        </is>
      </c>
      <c r="K61" s="11" t="inlineStr">
        <is>
          <t>Строки</t>
        </is>
      </c>
      <c r="M61" s="11" t="inlineStr">
        <is>
          <t>2026</t>
        </is>
      </c>
      <c r="N61" s="11" t="inlineStr">
        <is>
          <t>О</t>
        </is>
      </c>
      <c r="O61" s="26" t="n">
        <v>6</v>
      </c>
      <c r="P61" s="11">
        <f>ROUNDUP(950*(1-$F$3),2)</f>
        <v/>
      </c>
      <c r="Q61" s="11" t="inlineStr">
        <is>
          <t> </t>
        </is>
      </c>
      <c r="R61" s="11" t="inlineStr">
        <is>
          <t>978-5-386-15641-1</t>
        </is>
      </c>
      <c r="S61" s="11" t="inlineStr">
        <is>
          <t>9785386156411</t>
        </is>
      </c>
      <c r="T61" s="26" t="n">
        <v>22</v>
      </c>
      <c r="U61" s="11">
        <f>ROUNDUP(778.69*(1-$F$3),2)</f>
        <v/>
      </c>
      <c r="V61" s="11" t="n">
        <v>416</v>
      </c>
      <c r="Y61" s="11" t="inlineStr">
        <is>
          <t>Ложь за ложью: роман</t>
        </is>
      </c>
      <c r="Z61" s="11" t="inlineStr">
        <is>
          <t>18+</t>
        </is>
      </c>
      <c r="AA61" s="15" t="n">
        <v>46265</v>
      </c>
      <c r="AB61" s="11" t="inlineStr">
        <is>
          <t>Художественная литература</t>
        </is>
      </c>
      <c r="AC61" s="11" t="inlineStr">
        <is>
          <t>Детективы. Боевики. Триллеры</t>
        </is>
      </c>
      <c r="AD61" s="11" t="inlineStr">
        <is>
          <t>Триллеры</t>
        </is>
      </c>
      <c r="AE61" s="11" t="inlineStr">
        <is>
          <t>офсетная</t>
        </is>
      </c>
      <c r="AG61" s="11" t="n">
        <v>12223750</v>
      </c>
      <c r="AI61" s="11" t="inlineStr">
        <is>
          <t>4901990000</t>
        </is>
      </c>
    </row>
    <row r="62" customFormat="1" s="1">
      <c r="C62" s="1" t="inlineStr">
        <is>
          <t xml:space="preserve">12015860            </t>
        </is>
      </c>
      <c r="E62" s="1" t="inlineStr">
        <is>
          <t>Людоеды тоже люди. Гастелло Н.</t>
        </is>
      </c>
      <c r="F62" s="13" t="inlineStr">
        <is>
          <t>См.обл.</t>
        </is>
      </c>
      <c r="G62" s="1" t="inlineStr">
        <is>
          <t>Гастелло Н.</t>
        </is>
      </c>
      <c r="H62" s="1" t="inlineStr">
        <is>
          <t>60х90/16</t>
        </is>
      </c>
      <c r="I62" s="1" t="n">
        <v>384</v>
      </c>
      <c r="J62" s="1" t="inlineStr">
        <is>
          <t>РИПОЛ Классик</t>
        </is>
      </c>
      <c r="M62" s="1" t="inlineStr">
        <is>
          <t>2026</t>
        </is>
      </c>
      <c r="N62" s="1" t="inlineStr">
        <is>
          <t>П</t>
        </is>
      </c>
      <c r="O62" s="9" t="n">
        <v>8</v>
      </c>
      <c r="P62" s="1">
        <f>ROUNDUP(1190*(1-$F$3),2)</f>
        <v/>
      </c>
      <c r="Q62" s="1" t="inlineStr">
        <is>
          <t> </t>
        </is>
      </c>
      <c r="R62" s="1" t="inlineStr">
        <is>
          <t>978-5-386-15512-4</t>
        </is>
      </c>
      <c r="S62" s="1" t="inlineStr">
        <is>
          <t>9785386155124</t>
        </is>
      </c>
      <c r="T62" s="9" t="n">
        <v>22</v>
      </c>
      <c r="U62" s="1">
        <f>ROUNDUP(975.41*(1-$F$3),2)</f>
        <v/>
      </c>
      <c r="V62" s="1" t="n">
        <v>474</v>
      </c>
      <c r="Y62" s="1" t="inlineStr">
        <is>
          <t>Людоеды тоже люди</t>
        </is>
      </c>
      <c r="Z62" s="1" t="inlineStr">
        <is>
          <t>18+</t>
        </is>
      </c>
      <c r="AA62" s="12" t="n">
        <v>46057</v>
      </c>
      <c r="AB62" s="1" t="inlineStr">
        <is>
          <t>Художественная литература</t>
        </is>
      </c>
      <c r="AC62" s="1" t="inlineStr">
        <is>
          <t>Русская литература</t>
        </is>
      </c>
      <c r="AD62" s="1" t="inlineStr">
        <is>
          <t>Современная литература</t>
        </is>
      </c>
      <c r="AE62" s="1" t="inlineStr">
        <is>
          <t>офсетная</t>
        </is>
      </c>
      <c r="AG62" s="1" t="n">
        <v>12015860</v>
      </c>
      <c r="AI62" s="1" t="inlineStr">
        <is>
          <t>4901990000</t>
        </is>
      </c>
    </row>
    <row r="63" customFormat="1" s="1">
      <c r="C63" s="1" t="inlineStr">
        <is>
          <t xml:space="preserve">10542970            </t>
        </is>
      </c>
      <c r="E63" s="1" t="inlineStr">
        <is>
          <t>Метамодерн в музыке и вокруг нее. 2-е изд. Хрущева Н.А</t>
        </is>
      </c>
      <c r="F63" s="13" t="inlineStr">
        <is>
          <t>См.обл.</t>
        </is>
      </c>
      <c r="G63" s="1" t="inlineStr">
        <is>
          <t>Хрущева Н.А</t>
        </is>
      </c>
      <c r="H63" s="1" t="inlineStr">
        <is>
          <t>60х90/16</t>
        </is>
      </c>
      <c r="I63" s="1" t="n">
        <v>304</v>
      </c>
      <c r="J63" s="1" t="inlineStr">
        <is>
          <t>РИПОЛ Классик</t>
        </is>
      </c>
      <c r="M63" s="1" t="inlineStr">
        <is>
          <t>2026</t>
        </is>
      </c>
      <c r="N63" s="1" t="inlineStr">
        <is>
          <t>О</t>
        </is>
      </c>
      <c r="O63" s="9" t="n">
        <v>14</v>
      </c>
      <c r="P63" s="1">
        <f>ROUNDUP(1040*(1-$F$3),2)</f>
        <v/>
      </c>
      <c r="Q63" s="1" t="inlineStr">
        <is>
          <t> </t>
        </is>
      </c>
      <c r="R63" s="1" t="inlineStr">
        <is>
          <t>978-5-386-14846-1</t>
        </is>
      </c>
      <c r="S63" s="1" t="inlineStr">
        <is>
          <t>9785386148461</t>
        </is>
      </c>
      <c r="T63" s="9" t="n">
        <v>22</v>
      </c>
      <c r="U63" s="1">
        <f>ROUNDUP(852.46*(1-$F$3),2)</f>
        <v/>
      </c>
      <c r="V63" s="1" t="n">
        <v>362</v>
      </c>
      <c r="Y63" s="1" t="inlineStr">
        <is>
          <t>Метамодерн в музыке и вокруг нее. 2-е изд</t>
        </is>
      </c>
      <c r="Z63" s="1" t="inlineStr">
        <is>
          <t>18+</t>
        </is>
      </c>
      <c r="AA63" s="12" t="n">
        <v>44788</v>
      </c>
      <c r="AB63" s="1" t="inlineStr">
        <is>
          <t>Искусство</t>
        </is>
      </c>
      <c r="AC63" s="1" t="inlineStr">
        <is>
          <t>Музыка и зрелищные искусства</t>
        </is>
      </c>
      <c r="AD63" s="1" t="inlineStr">
        <is>
          <t>Музыка</t>
        </is>
      </c>
      <c r="AE63" s="1" t="inlineStr">
        <is>
          <t>офсетная</t>
        </is>
      </c>
      <c r="AG63" s="1" t="n">
        <v>10542970</v>
      </c>
      <c r="AI63" s="1" t="inlineStr">
        <is>
          <t>4901990000</t>
        </is>
      </c>
      <c r="AJ63" s="1" t="inlineStr">
        <is>
          <t>Зпв</t>
        </is>
      </c>
    </row>
    <row r="64" customFormat="1" s="1">
      <c r="C64" s="1" t="inlineStr">
        <is>
          <t xml:space="preserve">11436620            </t>
        </is>
      </c>
      <c r="E64" s="1" t="inlineStr">
        <is>
          <t>Мой муж. Вентура М.</t>
        </is>
      </c>
      <c r="F64" s="13" t="inlineStr">
        <is>
          <t>См.обл.</t>
        </is>
      </c>
      <c r="G64" s="1" t="inlineStr">
        <is>
          <t>Вентура М.</t>
        </is>
      </c>
      <c r="H64" s="1" t="inlineStr">
        <is>
          <t>60х90/16</t>
        </is>
      </c>
      <c r="I64" s="1" t="n">
        <v>272</v>
      </c>
      <c r="J64" s="1" t="inlineStr">
        <is>
          <t>РИПОЛ Классик</t>
        </is>
      </c>
      <c r="M64" s="1" t="inlineStr">
        <is>
          <t>2026</t>
        </is>
      </c>
      <c r="N64" s="1" t="inlineStr">
        <is>
          <t>П</t>
        </is>
      </c>
      <c r="O64" s="9" t="n">
        <v>10</v>
      </c>
      <c r="P64" s="1">
        <f>ROUNDUP(1030*(1-$F$3),2)</f>
        <v/>
      </c>
      <c r="Q64" s="1" t="inlineStr">
        <is>
          <t> </t>
        </is>
      </c>
      <c r="R64" s="1" t="inlineStr">
        <is>
          <t>978-5-386-15147-8</t>
        </is>
      </c>
      <c r="S64" s="1" t="inlineStr">
        <is>
          <t>9785386151478</t>
        </is>
      </c>
      <c r="T64" s="9" t="n">
        <v>10</v>
      </c>
      <c r="U64" s="1">
        <f>ROUNDUP(936.36*(1-$F$3),2)</f>
        <v/>
      </c>
      <c r="V64" s="1" t="n">
        <v>375</v>
      </c>
      <c r="Y64" s="1" t="inlineStr">
        <is>
          <t>Мой муж</t>
        </is>
      </c>
      <c r="Z64" s="1" t="inlineStr">
        <is>
          <t>16+</t>
        </is>
      </c>
      <c r="AA64" s="12" t="n">
        <v>45539</v>
      </c>
      <c r="AB64" s="1" t="inlineStr">
        <is>
          <t>Художественная литература</t>
        </is>
      </c>
      <c r="AC64" s="1" t="inlineStr">
        <is>
          <t>Сентиментальная проза</t>
        </is>
      </c>
      <c r="AD64" s="1" t="inlineStr">
        <is>
          <t>Зарубежный сентиментальный роман</t>
        </is>
      </c>
      <c r="AE64" s="1" t="inlineStr">
        <is>
          <t>офсетная</t>
        </is>
      </c>
      <c r="AG64" s="1" t="n">
        <v>11436620</v>
      </c>
      <c r="AI64" s="1" t="inlineStr">
        <is>
          <t>4901990000</t>
        </is>
      </c>
    </row>
    <row r="65" customFormat="1" s="1">
      <c r="C65" s="1" t="inlineStr">
        <is>
          <t xml:space="preserve">11463080            </t>
        </is>
      </c>
      <c r="E65" s="1" t="inlineStr">
        <is>
          <t>Муравейник. Грушевский М.Д.</t>
        </is>
      </c>
      <c r="F65" s="13" t="inlineStr">
        <is>
          <t>См.обл.</t>
        </is>
      </c>
      <c r="G65" s="1" t="inlineStr">
        <is>
          <t>Грушевский М.Д.</t>
        </is>
      </c>
      <c r="H65" s="1" t="inlineStr">
        <is>
          <t>60х90/16</t>
        </is>
      </c>
      <c r="I65" s="1" t="n">
        <v>264</v>
      </c>
      <c r="J65" s="1" t="inlineStr">
        <is>
          <t>РИПОЛ Классик</t>
        </is>
      </c>
      <c r="M65" s="1" t="inlineStr">
        <is>
          <t>2025</t>
        </is>
      </c>
      <c r="N65" s="1" t="inlineStr">
        <is>
          <t>П</t>
        </is>
      </c>
      <c r="O65" s="9" t="n">
        <v>6</v>
      </c>
      <c r="P65" s="1">
        <f>ROUNDUP(1100*(1-$F$3),2)</f>
        <v/>
      </c>
      <c r="Q65" s="1" t="inlineStr">
        <is>
          <t> </t>
        </is>
      </c>
      <c r="R65" s="1" t="inlineStr">
        <is>
          <t>978-5-386-15293-2</t>
        </is>
      </c>
      <c r="S65" s="1" t="inlineStr">
        <is>
          <t>9785386152932</t>
        </is>
      </c>
      <c r="T65" s="9" t="n">
        <v>10</v>
      </c>
      <c r="U65" s="1">
        <f>ROUNDUP(1000*(1-$F$3),2)</f>
        <v/>
      </c>
      <c r="V65" s="1" t="n">
        <v>321</v>
      </c>
      <c r="Y65" s="1" t="inlineStr">
        <is>
          <t>Муравейник</t>
        </is>
      </c>
      <c r="Z65" s="1" t="inlineStr">
        <is>
          <t>16+</t>
        </is>
      </c>
      <c r="AA65" s="12" t="n">
        <v>45553</v>
      </c>
      <c r="AB65" s="1" t="inlineStr">
        <is>
          <t>Художественная литература</t>
        </is>
      </c>
      <c r="AC65" s="1" t="inlineStr">
        <is>
          <t>Русская литература</t>
        </is>
      </c>
      <c r="AD65" s="1" t="inlineStr">
        <is>
          <t>Современная литература</t>
        </is>
      </c>
      <c r="AE65" s="1" t="inlineStr">
        <is>
          <t>офсетная</t>
        </is>
      </c>
      <c r="AG65" s="1" t="n">
        <v>11463080</v>
      </c>
      <c r="AI65" s="1" t="inlineStr">
        <is>
          <t>4901990000</t>
        </is>
      </c>
      <c r="AJ65" s="1" t="inlineStr">
        <is>
          <t>Зпв</t>
        </is>
      </c>
    </row>
    <row r="66" customFormat="1" s="1">
      <c r="C66" s="1" t="inlineStr">
        <is>
          <t xml:space="preserve">11136510            </t>
        </is>
      </c>
      <c r="E66" s="1" t="inlineStr">
        <is>
          <t>Набор открыток "Вечера на хуторе близ Диканьки" (комплект из 10 шт.). Гоголь Н.В.</t>
        </is>
      </c>
      <c r="F66" s="13" t="inlineStr">
        <is>
          <t>См.обл.</t>
        </is>
      </c>
      <c r="G66" s="1" t="inlineStr">
        <is>
          <t>Гоголь Н.В.</t>
        </is>
      </c>
      <c r="H66" s="1" t="inlineStr">
        <is>
          <t>70х100/32</t>
        </is>
      </c>
      <c r="I66" s="1" t="n">
        <v>10</v>
      </c>
      <c r="J66" s="1" t="inlineStr">
        <is>
          <t>РИПОЛ Классик</t>
        </is>
      </c>
      <c r="M66" s="1" t="inlineStr">
        <is>
          <t>2023</t>
        </is>
      </c>
      <c r="N66" s="1" t="inlineStr">
        <is>
          <t>П</t>
        </is>
      </c>
      <c r="O66" s="9" t="n"/>
      <c r="P66" s="1">
        <f>ROUNDUP(380*(1-$F$3),2)</f>
        <v/>
      </c>
      <c r="Q66" s="1" t="inlineStr">
        <is>
          <t> </t>
        </is>
      </c>
      <c r="R66" s="1" t="inlineStr">
        <is>
          <t>978-5-386-15111-9</t>
        </is>
      </c>
      <c r="S66" s="1" t="inlineStr">
        <is>
          <t>9785386151119</t>
        </is>
      </c>
      <c r="T66" s="9" t="n">
        <v>22</v>
      </c>
      <c r="U66" s="1">
        <f>ROUNDUP(311.48*(1-$F$3),2)</f>
        <v/>
      </c>
      <c r="V66" s="1" t="n">
        <v>0</v>
      </c>
      <c r="Y66" s="1" t="inlineStr">
        <is>
          <t>Набор открыток "Вечера на хуторе близ Диканьки" (комплект из 10 шт.)</t>
        </is>
      </c>
      <c r="Z66" s="1" t="inlineStr">
        <is>
          <t>12+</t>
        </is>
      </c>
      <c r="AA66" s="12" t="n">
        <v>45253</v>
      </c>
      <c r="AB66" s="1" t="inlineStr">
        <is>
          <t>Художественная литература</t>
        </is>
      </c>
      <c r="AC66" s="1" t="inlineStr">
        <is>
          <t>Прочие издания</t>
        </is>
      </c>
      <c r="AD66" s="1" t="inlineStr">
        <is>
          <t> </t>
        </is>
      </c>
      <c r="AE66" s="1" t="inlineStr">
        <is>
          <t>мелованная</t>
        </is>
      </c>
      <c r="AG66" s="1" t="n">
        <v>11136510</v>
      </c>
      <c r="AI66" s="1" t="inlineStr">
        <is>
          <t>4901100000</t>
        </is>
      </c>
    </row>
    <row r="67" customFormat="1" s="1">
      <c r="C67" s="1" t="inlineStr">
        <is>
          <t>11680470</t>
        </is>
      </c>
      <c r="E67" s="1" t="inlineStr">
        <is>
          <t>Население: одна; Масло (комплект из 2-х книг). Мун Э., Юзуки А.</t>
        </is>
      </c>
      <c r="F67" s="13" t="inlineStr">
        <is>
          <t>См.обл.</t>
        </is>
      </c>
      <c r="G67" s="1" t="inlineStr">
        <is>
          <t>Мун Э., Юзуки А.</t>
        </is>
      </c>
      <c r="H67" s="1" t="inlineStr">
        <is>
          <t>60х90/16</t>
        </is>
      </c>
      <c r="I67" s="1" t="n">
        <v>896</v>
      </c>
      <c r="J67" s="1" t="inlineStr">
        <is>
          <t>РИПОЛ Классик</t>
        </is>
      </c>
      <c r="M67" s="1" t="inlineStr">
        <is>
          <t>2026</t>
        </is>
      </c>
      <c r="N67" s="1" t="inlineStr">
        <is>
          <t>П</t>
        </is>
      </c>
      <c r="O67" s="9" t="n"/>
      <c r="P67" s="1">
        <f>ROUNDUP(2310*(1-$F$3),2)</f>
        <v/>
      </c>
      <c r="Q67" s="1" t="inlineStr">
        <is>
          <t> </t>
        </is>
      </c>
      <c r="R67" s="1" t="inlineStr">
        <is>
          <t>978-5-521-84739-6</t>
        </is>
      </c>
      <c r="S67" s="1" t="inlineStr">
        <is>
          <t>9785521847396</t>
        </is>
      </c>
      <c r="T67" s="9" t="n">
        <v>22</v>
      </c>
      <c r="U67" s="1">
        <f>ROUNDUP(1893.44*(1-$F$3),2)</f>
        <v/>
      </c>
      <c r="V67" s="1" t="n">
        <v>941</v>
      </c>
      <c r="Y67" s="1" t="inlineStr">
        <is>
          <t>Население: одна; Масло (комплект из 2-х книг)</t>
        </is>
      </c>
      <c r="Z67" s="1" t="inlineStr">
        <is>
          <t>18+</t>
        </is>
      </c>
      <c r="AA67" s="12" t="n">
        <v>45721</v>
      </c>
      <c r="AB67" s="1" t="inlineStr">
        <is>
          <t>Художественная литература</t>
        </is>
      </c>
      <c r="AC67" s="1" t="inlineStr">
        <is>
          <t>Детективы. Боевики. Триллеры</t>
        </is>
      </c>
      <c r="AD67" s="1" t="inlineStr">
        <is>
          <t>Триллеры</t>
        </is>
      </c>
      <c r="AE67" s="1" t="inlineStr">
        <is>
          <t>офсетная</t>
        </is>
      </c>
      <c r="AG67" s="1" t="n">
        <v>11680470</v>
      </c>
      <c r="AI67" s="1" t="inlineStr">
        <is>
          <t>4901990000</t>
        </is>
      </c>
    </row>
    <row r="68" customFormat="1" s="1">
      <c r="C68" s="1" t="inlineStr">
        <is>
          <t>12268550</t>
        </is>
      </c>
      <c r="E68" s="1" t="inlineStr">
        <is>
          <t>Наука и природа (комплект из 4-х книг). Ярхэм Р., Бабаев К.В., Архангельская А., Рондарев А.В.</t>
        </is>
      </c>
      <c r="F68" s="13" t="inlineStr">
        <is>
          <t>См.обл.</t>
        </is>
      </c>
      <c r="G68" s="1" t="inlineStr">
        <is>
          <t>Ярхэм Р., Бабаев К.В., Архангельская А., Рондарев А.В.</t>
        </is>
      </c>
      <c r="H68" s="1" t="inlineStr">
        <is>
          <t>84х108/16</t>
        </is>
      </c>
      <c r="I68" s="1" t="n">
        <v>1760</v>
      </c>
      <c r="J68" s="1" t="inlineStr">
        <is>
          <t>РИПОЛ Классик</t>
        </is>
      </c>
      <c r="M68" s="1" t="inlineStr">
        <is>
          <t>2024</t>
        </is>
      </c>
      <c r="N68" s="1" t="inlineStr">
        <is>
          <t>П</t>
        </is>
      </c>
      <c r="O68" s="9" t="n">
        <v>1</v>
      </c>
      <c r="P68" s="1">
        <f>ROUNDUP(8420*(1-$F$3),2)</f>
        <v/>
      </c>
      <c r="Q68" s="1" t="inlineStr">
        <is>
          <t> </t>
        </is>
      </c>
      <c r="R68" s="1" t="inlineStr">
        <is>
          <t>978-5-8854-0468-6</t>
        </is>
      </c>
      <c r="S68" s="1" t="inlineStr">
        <is>
          <t>9785885404686</t>
        </is>
      </c>
      <c r="T68" s="9" t="n">
        <v>10</v>
      </c>
      <c r="U68" s="1">
        <f>ROUNDUP(7654.55*(1-$F$3),2)</f>
        <v/>
      </c>
      <c r="V68" s="1" t="n">
        <v>3621</v>
      </c>
      <c r="Y68" s="1" t="inlineStr">
        <is>
          <t>Наука и природа (комплект из 4-х книг)</t>
        </is>
      </c>
      <c r="Z68" s="1" t="inlineStr">
        <is>
          <t>18+</t>
        </is>
      </c>
      <c r="AA68" s="12" t="n">
        <v>46273</v>
      </c>
      <c r="AB68" s="1" t="inlineStr">
        <is>
          <t>Естественные науки. Математика</t>
        </is>
      </c>
      <c r="AC68" s="1" t="inlineStr">
        <is>
          <t>Науки о Земле</t>
        </is>
      </c>
      <c r="AD68" s="1" t="inlineStr">
        <is>
          <t>Страноведение. Краеведение</t>
        </is>
      </c>
      <c r="AE68" s="1" t="inlineStr">
        <is>
          <t>офсетная</t>
        </is>
      </c>
      <c r="AG68" s="1" t="n">
        <v>12268550</v>
      </c>
      <c r="AI68" s="1" t="inlineStr">
        <is>
          <t>4901990000</t>
        </is>
      </c>
      <c r="AJ68" s="1" t="inlineStr">
        <is>
          <t>Зпв</t>
        </is>
      </c>
    </row>
    <row r="69" customFormat="1" s="1">
      <c r="C69" s="1" t="inlineStr">
        <is>
          <t xml:space="preserve">11719420            </t>
        </is>
      </c>
      <c r="E69" s="1" t="inlineStr">
        <is>
          <t>Начальник, ты не прав. Смирнов Г.Б.</t>
        </is>
      </c>
      <c r="F69" s="13" t="inlineStr">
        <is>
          <t>См.обл.</t>
        </is>
      </c>
      <c r="G69" s="1" t="inlineStr">
        <is>
          <t>Смирнов Г.Б.</t>
        </is>
      </c>
      <c r="H69" s="1" t="inlineStr">
        <is>
          <t>60х90/16</t>
        </is>
      </c>
      <c r="I69" s="1" t="n">
        <v>224</v>
      </c>
      <c r="J69" s="1" t="inlineStr">
        <is>
          <t>РИПОЛ Классик</t>
        </is>
      </c>
      <c r="M69" s="1" t="inlineStr">
        <is>
          <t>2025</t>
        </is>
      </c>
      <c r="N69" s="1" t="inlineStr">
        <is>
          <t>П</t>
        </is>
      </c>
      <c r="O69" s="9" t="n">
        <v>5</v>
      </c>
      <c r="P69" s="1">
        <f>ROUNDUP(1210*(1-$F$3),2)</f>
        <v/>
      </c>
      <c r="Q69" s="1" t="inlineStr">
        <is>
          <t> </t>
        </is>
      </c>
      <c r="R69" s="1" t="inlineStr">
        <is>
          <t>978-5-386-15437-0</t>
        </is>
      </c>
      <c r="S69" s="1" t="inlineStr">
        <is>
          <t>9785386154370</t>
        </is>
      </c>
      <c r="T69" s="9" t="n">
        <v>10</v>
      </c>
      <c r="U69" s="1">
        <f>ROUNDUP(1100*(1-$F$3),2)</f>
        <v/>
      </c>
      <c r="V69" s="1" t="n">
        <v>341</v>
      </c>
      <c r="Y69" s="1" t="inlineStr">
        <is>
          <t>Начальник, ты не прав</t>
        </is>
      </c>
      <c r="Z69" s="1" t="inlineStr">
        <is>
          <t>12+</t>
        </is>
      </c>
      <c r="AA69" s="12" t="n">
        <v>45756</v>
      </c>
      <c r="AB69" s="1" t="inlineStr">
        <is>
          <t>Экономика. Экономические науки</t>
        </is>
      </c>
      <c r="AC69" s="1" t="inlineStr">
        <is>
          <t>Менеджмент</t>
        </is>
      </c>
      <c r="AD69" s="1" t="inlineStr">
        <is>
          <t>Психология управления</t>
        </is>
      </c>
      <c r="AE69" s="1" t="inlineStr">
        <is>
          <t>офсетная</t>
        </is>
      </c>
      <c r="AG69" s="1" t="n">
        <v>11719420</v>
      </c>
      <c r="AI69" s="1" t="inlineStr">
        <is>
          <t>4901990000</t>
        </is>
      </c>
    </row>
    <row r="70" customFormat="1" s="1">
      <c r="C70" s="1" t="inlineStr">
        <is>
          <t xml:space="preserve">11742370            </t>
        </is>
      </c>
      <c r="E70" s="1" t="inlineStr">
        <is>
          <t>Невероятная подлинная история горгоны Медузы. Алеников В.М.</t>
        </is>
      </c>
      <c r="F70" s="13" t="inlineStr">
        <is>
          <t>См.обл.</t>
        </is>
      </c>
      <c r="G70" s="1" t="inlineStr">
        <is>
          <t>Алеников В.М.</t>
        </is>
      </c>
      <c r="H70" s="1" t="inlineStr">
        <is>
          <t>60х90/16</t>
        </is>
      </c>
      <c r="I70" s="1" t="n">
        <v>192</v>
      </c>
      <c r="J70" s="1" t="inlineStr">
        <is>
          <t>РИПОЛ Классик</t>
        </is>
      </c>
      <c r="M70" s="1" t="inlineStr">
        <is>
          <t>2026</t>
        </is>
      </c>
      <c r="N70" s="1" t="inlineStr">
        <is>
          <t>П</t>
        </is>
      </c>
      <c r="O70" s="9" t="n">
        <v>10</v>
      </c>
      <c r="P70" s="1">
        <f>ROUNDUP(1100*(1-$F$3),2)</f>
        <v/>
      </c>
      <c r="Q70" s="1" t="inlineStr">
        <is>
          <t> </t>
        </is>
      </c>
      <c r="R70" s="1" t="inlineStr">
        <is>
          <t>978-5-386-15420-2</t>
        </is>
      </c>
      <c r="S70" s="1" t="inlineStr">
        <is>
          <t>9785386154202</t>
        </is>
      </c>
      <c r="T70" s="9" t="n">
        <v>10</v>
      </c>
      <c r="U70" s="1">
        <f>ROUNDUP(1000*(1-$F$3),2)</f>
        <v/>
      </c>
      <c r="V70" s="1" t="n">
        <v>336</v>
      </c>
      <c r="Y70" s="1" t="inlineStr">
        <is>
          <t>Невероятная подлинная история горгоны Медузы</t>
        </is>
      </c>
      <c r="Z70" s="1" t="inlineStr">
        <is>
          <t>12+</t>
        </is>
      </c>
      <c r="AA70" s="12" t="n">
        <v>45784</v>
      </c>
      <c r="AB70" s="1" t="inlineStr">
        <is>
          <t>Художественная литература</t>
        </is>
      </c>
      <c r="AC70" s="1" t="inlineStr">
        <is>
          <t>Русская литература</t>
        </is>
      </c>
      <c r="AD70" s="1" t="inlineStr">
        <is>
          <t>Современная литература</t>
        </is>
      </c>
      <c r="AE70" s="1" t="inlineStr">
        <is>
          <t>офсетная</t>
        </is>
      </c>
      <c r="AG70" s="1" t="n">
        <v>11742370</v>
      </c>
      <c r="AI70" s="1" t="inlineStr">
        <is>
          <t>4901990000</t>
        </is>
      </c>
    </row>
    <row r="71" customFormat="1" s="1">
      <c r="C71" s="1" t="inlineStr">
        <is>
          <t xml:space="preserve">11758150            </t>
        </is>
      </c>
      <c r="E71" s="1" t="inlineStr">
        <is>
          <t>Нефть и мир. Кн. 1: "Семь сестер" - дом, который построил Джон (с супером). Крутаков Л.</t>
        </is>
      </c>
      <c r="F71" s="13" t="inlineStr">
        <is>
          <t>См.обл.</t>
        </is>
      </c>
      <c r="G71" s="1" t="inlineStr">
        <is>
          <t>Крутаков Л.</t>
        </is>
      </c>
      <c r="H71" s="1" t="inlineStr">
        <is>
          <t>70х100/16</t>
        </is>
      </c>
      <c r="I71" s="1" t="n">
        <v>512</v>
      </c>
      <c r="J71" s="1" t="inlineStr">
        <is>
          <t>РИПОЛ Классик</t>
        </is>
      </c>
      <c r="M71" s="1" t="inlineStr">
        <is>
          <t>2025</t>
        </is>
      </c>
      <c r="N71" s="1" t="inlineStr">
        <is>
          <t>П</t>
        </is>
      </c>
      <c r="O71" s="9" t="n">
        <v>4</v>
      </c>
      <c r="P71" s="1">
        <f>ROUNDUP(2470*(1-$F$3),2)</f>
        <v/>
      </c>
      <c r="Q71" s="1" t="inlineStr">
        <is>
          <t> </t>
        </is>
      </c>
      <c r="R71" s="1" t="inlineStr">
        <is>
          <t>978-5-386-15426-4</t>
        </is>
      </c>
      <c r="S71" s="1" t="inlineStr">
        <is>
          <t>9785386154264</t>
        </is>
      </c>
      <c r="T71" s="9" t="n">
        <v>10</v>
      </c>
      <c r="U71" s="1">
        <f>ROUNDUP(2245.45*(1-$F$3),2)</f>
        <v/>
      </c>
      <c r="V71" s="1" t="n">
        <v>971</v>
      </c>
      <c r="Y71" s="1" t="inlineStr">
        <is>
          <t>Нефть и мир. Кн. 1: "Семь сестер" - дом, который построил Джон (с супером)</t>
        </is>
      </c>
      <c r="Z71" s="1" t="inlineStr">
        <is>
          <t>16+</t>
        </is>
      </c>
      <c r="AA71" s="12" t="n">
        <v>45839</v>
      </c>
      <c r="AB71" s="1" t="inlineStr">
        <is>
          <t>Экономика. Экономические науки</t>
        </is>
      </c>
      <c r="AC71" s="1" t="inlineStr">
        <is>
          <t>Экономика</t>
        </is>
      </c>
      <c r="AD71" s="1" t="inlineStr">
        <is>
          <t>Мировая экономика. Международные экономические отношения</t>
        </is>
      </c>
      <c r="AE71" s="1" t="inlineStr">
        <is>
          <t>офсетная</t>
        </is>
      </c>
      <c r="AG71" s="1" t="n">
        <v>11758150</v>
      </c>
      <c r="AI71" s="1" t="inlineStr">
        <is>
          <t>4901990000</t>
        </is>
      </c>
    </row>
    <row r="72" customFormat="1" s="1">
      <c r="C72" s="1" t="inlineStr">
        <is>
          <t xml:space="preserve">11815780            </t>
        </is>
      </c>
      <c r="E72" s="1" t="inlineStr">
        <is>
          <t>Нефть и мир. Кн. 1: "Семь сестер" - дом, который построил Джон. Крутаков Л.</t>
        </is>
      </c>
      <c r="F72" s="13" t="inlineStr">
        <is>
          <t>См.обл.</t>
        </is>
      </c>
      <c r="G72" s="1" t="inlineStr">
        <is>
          <t>Крутаков Л.</t>
        </is>
      </c>
      <c r="H72" s="1" t="inlineStr">
        <is>
          <t>70х100/16</t>
        </is>
      </c>
      <c r="I72" s="1" t="n">
        <v>512</v>
      </c>
      <c r="J72" s="1" t="inlineStr">
        <is>
          <t>РИПОЛ Классик</t>
        </is>
      </c>
      <c r="M72" s="1" t="inlineStr">
        <is>
          <t>2025</t>
        </is>
      </c>
      <c r="N72" s="1" t="inlineStr">
        <is>
          <t>П</t>
        </is>
      </c>
      <c r="O72" s="9" t="n">
        <v>4</v>
      </c>
      <c r="P72" s="1">
        <f>ROUNDUP(2050*(1-$F$3),2)</f>
        <v/>
      </c>
      <c r="Q72" s="1" t="inlineStr">
        <is>
          <t> </t>
        </is>
      </c>
      <c r="R72" s="1" t="inlineStr">
        <is>
          <t>978-5-386-15482-0</t>
        </is>
      </c>
      <c r="S72" s="1" t="inlineStr">
        <is>
          <t>9785386154820</t>
        </is>
      </c>
      <c r="T72" s="9" t="n">
        <v>10</v>
      </c>
      <c r="U72" s="1">
        <f>ROUNDUP(1863.64*(1-$F$3),2)</f>
        <v/>
      </c>
      <c r="V72" s="1" t="n">
        <v>934</v>
      </c>
      <c r="Y72" s="1" t="inlineStr">
        <is>
          <t>Нефть и мир. Кн. 1: "Семь сестер" - дом, который построил Джон</t>
        </is>
      </c>
      <c r="Z72" s="1" t="inlineStr">
        <is>
          <t>16+</t>
        </is>
      </c>
      <c r="AA72" s="12" t="n">
        <v>45854</v>
      </c>
      <c r="AB72" s="1" t="inlineStr">
        <is>
          <t>Экономика. Экономические науки</t>
        </is>
      </c>
      <c r="AC72" s="1" t="inlineStr">
        <is>
          <t>Экономика</t>
        </is>
      </c>
      <c r="AD72" s="1" t="inlineStr">
        <is>
          <t>Мировая экономика. Международные экономические отношения</t>
        </is>
      </c>
      <c r="AE72" s="1" t="inlineStr">
        <is>
          <t>офсетная</t>
        </is>
      </c>
      <c r="AG72" s="1" t="n">
        <v>11815780</v>
      </c>
      <c r="AI72" s="1" t="inlineStr">
        <is>
          <t>4901990000</t>
        </is>
      </c>
    </row>
    <row r="73" customFormat="1" s="11">
      <c r="A73" s="11" t="inlineStr">
        <is>
          <t>нов</t>
        </is>
      </c>
      <c r="C73" s="11" t="inlineStr">
        <is>
          <t xml:space="preserve">12261710            </t>
        </is>
      </c>
      <c r="E73" s="11" t="inlineStr">
        <is>
          <t>Няня. Инструкция по поиску, подбору и эффективному взаимодействию. Готвальд М.</t>
        </is>
      </c>
      <c r="F73" s="14" t="inlineStr">
        <is>
          <t>См.обл.</t>
        </is>
      </c>
      <c r="G73" s="11" t="inlineStr">
        <is>
          <t>Готвальд М.</t>
        </is>
      </c>
      <c r="H73" s="11" t="inlineStr">
        <is>
          <t>84х108/32</t>
        </is>
      </c>
      <c r="I73" s="11" t="n">
        <v>208</v>
      </c>
      <c r="J73" s="11" t="inlineStr">
        <is>
          <t>РИПОЛ Классик</t>
        </is>
      </c>
      <c r="M73" s="11" t="inlineStr">
        <is>
          <t>2026</t>
        </is>
      </c>
      <c r="N73" s="11" t="inlineStr">
        <is>
          <t>П</t>
        </is>
      </c>
      <c r="O73" s="26" t="n">
        <v>14</v>
      </c>
      <c r="P73" s="11">
        <f>ROUNDUP(1200*(1-$F$3),2)</f>
        <v/>
      </c>
      <c r="Q73" s="11" t="inlineStr">
        <is>
          <t> </t>
        </is>
      </c>
      <c r="R73" s="11" t="inlineStr">
        <is>
          <t>978-5-386-15719-7</t>
        </is>
      </c>
      <c r="S73" s="11" t="inlineStr">
        <is>
          <t>9785386157197</t>
        </is>
      </c>
      <c r="T73" s="26" t="n">
        <v>10</v>
      </c>
      <c r="U73" s="11">
        <f>ROUNDUP(1090.91*(1-$F$3),2)</f>
        <v/>
      </c>
      <c r="V73" s="11" t="n">
        <v>305</v>
      </c>
      <c r="Y73" s="11" t="inlineStr">
        <is>
          <t>Няня. Инструкция по поиску, подбору и эффективному взаимодействию</t>
        </is>
      </c>
      <c r="Z73" s="11" t="inlineStr">
        <is>
          <t>16+</t>
        </is>
      </c>
      <c r="AA73" s="15" t="n">
        <v>46272</v>
      </c>
      <c r="AB73" s="11" t="inlineStr">
        <is>
          <t>Детская литература</t>
        </is>
      </c>
      <c r="AC73" s="11" t="inlineStr">
        <is>
          <t>Книги для родителей</t>
        </is>
      </c>
      <c r="AD73" s="11" t="inlineStr">
        <is>
          <t>Прочие издания</t>
        </is>
      </c>
      <c r="AE73" s="11" t="inlineStr">
        <is>
          <t>офсетная</t>
        </is>
      </c>
      <c r="AG73" s="11" t="n">
        <v>12261710</v>
      </c>
      <c r="AI73" s="11" t="inlineStr">
        <is>
          <t>4901990000</t>
        </is>
      </c>
    </row>
    <row r="74" customFormat="1" s="1">
      <c r="C74" s="1" t="inlineStr">
        <is>
          <t xml:space="preserve">12228610            </t>
        </is>
      </c>
      <c r="E74" s="1" t="inlineStr">
        <is>
          <t>Обретая крылья. Горячие точки - бизнес - наставничество. Крылов А.В</t>
        </is>
      </c>
      <c r="F74" s="13" t="inlineStr">
        <is>
          <t>См.обл.</t>
        </is>
      </c>
      <c r="G74" s="1" t="inlineStr">
        <is>
          <t>Крылов А.В</t>
        </is>
      </c>
      <c r="H74" s="1" t="inlineStr">
        <is>
          <t>70х100/16</t>
        </is>
      </c>
      <c r="I74" s="1" t="n">
        <v>304</v>
      </c>
      <c r="J74" s="1" t="inlineStr">
        <is>
          <t>РИПОЛ Классик</t>
        </is>
      </c>
      <c r="M74" s="1" t="inlineStr">
        <is>
          <t>2026</t>
        </is>
      </c>
      <c r="N74" s="1" t="inlineStr">
        <is>
          <t>П</t>
        </is>
      </c>
      <c r="O74" s="9" t="n">
        <v>10</v>
      </c>
      <c r="P74" s="1">
        <f>ROUNDUP(1450*(1-$F$3),2)</f>
        <v/>
      </c>
      <c r="Q74" s="1" t="inlineStr">
        <is>
          <t> </t>
        </is>
      </c>
      <c r="R74" s="1" t="inlineStr">
        <is>
          <t>978-5-386-15682-4</t>
        </is>
      </c>
      <c r="S74" s="1" t="inlineStr">
        <is>
          <t>9785386156824</t>
        </is>
      </c>
      <c r="T74" s="9" t="n">
        <v>10</v>
      </c>
      <c r="U74" s="1">
        <f>ROUNDUP(1318.18*(1-$F$3),2)</f>
        <v/>
      </c>
      <c r="V74" s="1" t="n">
        <v>608</v>
      </c>
      <c r="Y74" s="1" t="inlineStr">
        <is>
          <t>Обретая крылья. Горячие точки - бизнес - наставничество</t>
        </is>
      </c>
      <c r="Z74" s="1" t="inlineStr">
        <is>
          <t>16+</t>
        </is>
      </c>
      <c r="AA74" s="12" t="n">
        <v>46238</v>
      </c>
      <c r="AB74" s="1" t="inlineStr">
        <is>
          <t>Художественно-документальная проза</t>
        </is>
      </c>
      <c r="AC74" s="1" t="inlineStr">
        <is>
          <t>Биографии. Мемуары</t>
        </is>
      </c>
      <c r="AD74" s="1" t="inlineStr">
        <is>
          <t>Воспоминания. Дневники. Письма</t>
        </is>
      </c>
      <c r="AE74" s="1" t="inlineStr">
        <is>
          <t>офсетная</t>
        </is>
      </c>
      <c r="AG74" s="1" t="n">
        <v>12228610</v>
      </c>
      <c r="AI74" s="1" t="inlineStr">
        <is>
          <t>4901990000</t>
        </is>
      </c>
    </row>
    <row r="75" customFormat="1" s="1">
      <c r="C75" s="1" t="inlineStr">
        <is>
          <t xml:space="preserve">11582880            </t>
        </is>
      </c>
      <c r="E75" s="1" t="inlineStr">
        <is>
          <t>Оракул историй. Павлова Л.</t>
        </is>
      </c>
      <c r="F75" s="13" t="inlineStr">
        <is>
          <t>См.обл.</t>
        </is>
      </c>
      <c r="G75" s="1" t="inlineStr">
        <is>
          <t>Павлова Л.</t>
        </is>
      </c>
      <c r="H75" s="1" t="inlineStr">
        <is>
          <t>60х90/16</t>
        </is>
      </c>
      <c r="I75" s="1" t="n">
        <v>272</v>
      </c>
      <c r="J75" s="1" t="inlineStr">
        <is>
          <t>РИПОЛ Классик</t>
        </is>
      </c>
      <c r="M75" s="1" t="inlineStr">
        <is>
          <t>2025</t>
        </is>
      </c>
      <c r="N75" s="1" t="inlineStr">
        <is>
          <t>П</t>
        </is>
      </c>
      <c r="O75" s="9" t="n">
        <v>6</v>
      </c>
      <c r="P75" s="1">
        <f>ROUNDUP(1160*(1-$F$3),2)</f>
        <v/>
      </c>
      <c r="Q75" s="1" t="inlineStr">
        <is>
          <t> </t>
        </is>
      </c>
      <c r="R75" s="1" t="inlineStr">
        <is>
          <t>978-5-386-15366-3</t>
        </is>
      </c>
      <c r="S75" s="1" t="inlineStr">
        <is>
          <t>9785386153663</t>
        </is>
      </c>
      <c r="T75" s="9" t="n">
        <v>22</v>
      </c>
      <c r="U75" s="1">
        <f>ROUNDUP(950.82*(1-$F$3),2)</f>
        <v/>
      </c>
      <c r="V75" s="1" t="n">
        <v>421</v>
      </c>
      <c r="Y75" s="1" t="inlineStr">
        <is>
          <t>Оракул историй</t>
        </is>
      </c>
      <c r="Z75" s="1" t="inlineStr">
        <is>
          <t>12+</t>
        </is>
      </c>
      <c r="AA75" s="12" t="n">
        <v>45825</v>
      </c>
      <c r="AB75" s="1" t="inlineStr">
        <is>
          <t>Религии. Эзотерика. Оккультизм</t>
        </is>
      </c>
      <c r="AC75" s="1" t="inlineStr">
        <is>
          <t>Эзотерика. Парапсихология. Тайны</t>
        </is>
      </c>
      <c r="AD75" s="1" t="inlineStr">
        <is>
          <t>Гадания. Толкование снов. Тайны имени</t>
        </is>
      </c>
      <c r="AE75" s="1" t="inlineStr">
        <is>
          <t>офсетная</t>
        </is>
      </c>
      <c r="AG75" s="1" t="n">
        <v>11582880</v>
      </c>
      <c r="AI75" s="1" t="inlineStr">
        <is>
          <t>4901990000</t>
        </is>
      </c>
    </row>
    <row r="76" customFormat="1" s="1">
      <c r="C76" s="1" t="inlineStr">
        <is>
          <t xml:space="preserve">11627020            </t>
        </is>
      </c>
      <c r="E76" s="1" t="inlineStr">
        <is>
          <t>От акта к актерству. Руководство Яна Фабра для перформера XXI в. Фабр Я., Дрис Л., ван ден</t>
        </is>
      </c>
      <c r="F76" s="13" t="inlineStr">
        <is>
          <t>См.обл.</t>
        </is>
      </c>
      <c r="G76" s="1" t="inlineStr">
        <is>
          <t>Фабр Я., Дрис Л., ван ден</t>
        </is>
      </c>
      <c r="H76" s="1" t="inlineStr">
        <is>
          <t>70х100/16</t>
        </is>
      </c>
      <c r="I76" s="1" t="n">
        <v>464</v>
      </c>
      <c r="J76" s="1" t="inlineStr">
        <is>
          <t>РИПОЛ Классик</t>
        </is>
      </c>
      <c r="M76" s="1" t="inlineStr">
        <is>
          <t>2026</t>
        </is>
      </c>
      <c r="N76" s="1" t="inlineStr">
        <is>
          <t>П</t>
        </is>
      </c>
      <c r="O76" s="9" t="n">
        <v>8</v>
      </c>
      <c r="P76" s="1">
        <f>ROUNDUP(2390*(1-$F$3),2)</f>
        <v/>
      </c>
      <c r="Q76" s="1" t="inlineStr">
        <is>
          <t> </t>
        </is>
      </c>
      <c r="R76" s="1" t="inlineStr">
        <is>
          <t>978-5-386-15190-4</t>
        </is>
      </c>
      <c r="S76" s="1" t="inlineStr">
        <is>
          <t>9785386151904</t>
        </is>
      </c>
      <c r="T76" s="9" t="n">
        <v>22</v>
      </c>
      <c r="U76" s="1">
        <f>ROUNDUP(1959.02*(1-$F$3),2)</f>
        <v/>
      </c>
      <c r="V76" s="1" t="n">
        <v>854</v>
      </c>
      <c r="Y76" s="1" t="inlineStr">
        <is>
          <t>От акта к актерству. Руководство Яна Фабра для перформера XXI в</t>
        </is>
      </c>
      <c r="Z76" s="1" t="inlineStr">
        <is>
          <t>18+</t>
        </is>
      </c>
      <c r="AA76" s="12" t="n">
        <v>45708</v>
      </c>
      <c r="AB76" s="1" t="inlineStr">
        <is>
          <t>Искусство</t>
        </is>
      </c>
      <c r="AC76" s="1" t="inlineStr">
        <is>
          <t>Музыка и зрелищные искусства</t>
        </is>
      </c>
      <c r="AD76" s="1" t="inlineStr">
        <is>
          <t>Театр (драматический, музыкальный, кукольный)</t>
        </is>
      </c>
      <c r="AE76" s="1" t="inlineStr">
        <is>
          <t>офсетная</t>
        </is>
      </c>
      <c r="AG76" s="1" t="n">
        <v>11627020</v>
      </c>
      <c r="AI76" s="1" t="inlineStr">
        <is>
          <t>4901990000</t>
        </is>
      </c>
      <c r="AJ76" s="1" t="inlineStr">
        <is>
          <t>Зпв</t>
        </is>
      </c>
    </row>
    <row r="77" customFormat="1" s="1">
      <c r="C77" s="1" t="inlineStr">
        <is>
          <t xml:space="preserve">11116460            </t>
        </is>
      </c>
      <c r="E77" s="1" t="inlineStr">
        <is>
          <t>Открытки "Вий" и другие повести из цикла "Миргород". Гоголь Н.В.</t>
        </is>
      </c>
      <c r="F77" s="13" t="inlineStr">
        <is>
          <t>См.обл.</t>
        </is>
      </c>
      <c r="G77" s="1" t="inlineStr">
        <is>
          <t>Гоголь Н.В.</t>
        </is>
      </c>
      <c r="H77" s="1" t="inlineStr">
        <is>
          <t>70х100/32</t>
        </is>
      </c>
      <c r="I77" s="1" t="n">
        <v>10</v>
      </c>
      <c r="J77" s="1" t="inlineStr">
        <is>
          <t>РИПОЛ Классик</t>
        </is>
      </c>
      <c r="M77" s="1" t="inlineStr">
        <is>
          <t>2023</t>
        </is>
      </c>
      <c r="N77" s="1" t="inlineStr">
        <is>
          <t>П</t>
        </is>
      </c>
      <c r="O77" s="9" t="n"/>
      <c r="P77" s="1">
        <f>ROUNDUP(380*(1-$F$3),2)</f>
        <v/>
      </c>
      <c r="Q77" s="1" t="inlineStr">
        <is>
          <t> </t>
        </is>
      </c>
      <c r="R77" s="1" t="inlineStr">
        <is>
          <t>978-5-386-15110-2</t>
        </is>
      </c>
      <c r="S77" s="1" t="inlineStr">
        <is>
          <t>9785386151102</t>
        </is>
      </c>
      <c r="T77" s="9" t="n">
        <v>22</v>
      </c>
      <c r="U77" s="1">
        <f>ROUNDUP(311.48*(1-$F$3),2)</f>
        <v/>
      </c>
      <c r="V77" s="1" t="n">
        <v>0</v>
      </c>
      <c r="Y77" s="1" t="inlineStr">
        <is>
          <t>Открытки "Вий" и другие повести из цикла "Миргород"</t>
        </is>
      </c>
      <c r="Z77" s="1" t="inlineStr">
        <is>
          <t>12+</t>
        </is>
      </c>
      <c r="AA77" s="12" t="n">
        <v>45238</v>
      </c>
      <c r="AB77" s="1" t="inlineStr">
        <is>
          <t>Гуманитарные науки</t>
        </is>
      </c>
      <c r="AC77" s="1" t="inlineStr">
        <is>
          <t>Литературоведение</t>
        </is>
      </c>
      <c r="AD77" s="1" t="inlineStr">
        <is>
          <t> </t>
        </is>
      </c>
      <c r="AE77" s="1" t="inlineStr">
        <is>
          <t>картон</t>
        </is>
      </c>
      <c r="AG77" s="1" t="n">
        <v>11116460</v>
      </c>
      <c r="AI77" s="1" t="inlineStr">
        <is>
          <t>4909000000</t>
        </is>
      </c>
    </row>
    <row r="78" customFormat="1" s="1">
      <c r="C78" s="1" t="inlineStr">
        <is>
          <t xml:space="preserve">11486970            </t>
        </is>
      </c>
      <c r="E78" s="1" t="inlineStr">
        <is>
          <t>Открытки "Портрет. Петербургские повести" набор 10 шт. Гоголь Н.В.</t>
        </is>
      </c>
      <c r="F78" s="13" t="inlineStr">
        <is>
          <t>См.обл.</t>
        </is>
      </c>
      <c r="G78" s="1" t="inlineStr">
        <is>
          <t>Гоголь Н.В.</t>
        </is>
      </c>
      <c r="H78" s="1" t="inlineStr">
        <is>
          <t>70х100/32</t>
        </is>
      </c>
      <c r="I78" s="1" t="n">
        <v>10</v>
      </c>
      <c r="J78" s="1" t="inlineStr">
        <is>
          <t>РИПОЛ Классик</t>
        </is>
      </c>
      <c r="M78" s="1" t="inlineStr">
        <is>
          <t>2024</t>
        </is>
      </c>
      <c r="N78" s="1" t="inlineStr">
        <is>
          <t>П</t>
        </is>
      </c>
      <c r="O78" s="9" t="n"/>
      <c r="P78" s="1">
        <f>ROUNDUP(310*(1-$F$3),2)</f>
        <v/>
      </c>
      <c r="Q78" s="1" t="inlineStr">
        <is>
          <t> </t>
        </is>
      </c>
      <c r="R78" s="1" t="inlineStr">
        <is>
          <t>978-5-386-15286-4</t>
        </is>
      </c>
      <c r="S78" s="1" t="inlineStr">
        <is>
          <t>9785386152864</t>
        </is>
      </c>
      <c r="T78" s="9" t="n">
        <v>22</v>
      </c>
      <c r="U78" s="1">
        <f>ROUNDUP(254.1*(1-$F$3),2)</f>
        <v/>
      </c>
      <c r="V78" s="1" t="n">
        <v>0</v>
      </c>
      <c r="Y78" s="1" t="inlineStr">
        <is>
          <t>Открытки "Портрет. Петербургские повести" набор 10 шт</t>
        </is>
      </c>
      <c r="Z78" s="1" t="inlineStr">
        <is>
          <t>12+</t>
        </is>
      </c>
      <c r="AA78" s="12" t="n">
        <v>45566</v>
      </c>
      <c r="AB78" s="1" t="inlineStr">
        <is>
          <t>Дом. Быт. Досуг</t>
        </is>
      </c>
      <c r="AC78" s="1" t="inlineStr">
        <is>
          <t>Товары для школьников и студентов</t>
        </is>
      </c>
      <c r="AD78" s="1" t="inlineStr">
        <is>
          <t> </t>
        </is>
      </c>
      <c r="AE78" s="1" t="inlineStr">
        <is>
          <t>картон</t>
        </is>
      </c>
      <c r="AG78" s="1" t="n">
        <v>11486970</v>
      </c>
      <c r="AI78" s="1" t="inlineStr">
        <is>
          <t>4901100000</t>
        </is>
      </c>
    </row>
    <row r="79" customFormat="1" s="11">
      <c r="A79" s="11" t="inlineStr">
        <is>
          <t>нов</t>
        </is>
      </c>
      <c r="C79" s="11" t="inlineStr">
        <is>
          <t xml:space="preserve">12254470            </t>
        </is>
      </c>
      <c r="E79" s="11" t="inlineStr">
        <is>
          <t>Пантелей, Леха, Перышкина и Искусственный Интеллект. Алеников В.М.</t>
        </is>
      </c>
      <c r="F79" s="14" t="inlineStr">
        <is>
          <t>См.обл.</t>
        </is>
      </c>
      <c r="G79" s="11" t="inlineStr">
        <is>
          <t>Алеников В.М.</t>
        </is>
      </c>
      <c r="H79" s="11" t="inlineStr">
        <is>
          <t>84х108/32</t>
        </is>
      </c>
      <c r="I79" s="11" t="n">
        <v>240</v>
      </c>
      <c r="J79" s="11" t="inlineStr">
        <is>
          <t>РИПОЛ Классик</t>
        </is>
      </c>
      <c r="M79" s="11" t="inlineStr">
        <is>
          <t>2026</t>
        </is>
      </c>
      <c r="N79" s="11" t="inlineStr">
        <is>
          <t>П</t>
        </is>
      </c>
      <c r="O79" s="26" t="n">
        <v>14</v>
      </c>
      <c r="P79" s="11">
        <f>ROUNDUP(790*(1-$F$3),2)</f>
        <v/>
      </c>
      <c r="Q79" s="11" t="inlineStr">
        <is>
          <t> </t>
        </is>
      </c>
      <c r="R79" s="11" t="inlineStr">
        <is>
          <t>978-5-386-15648-0</t>
        </is>
      </c>
      <c r="S79" s="11" t="inlineStr">
        <is>
          <t>9785386156480</t>
        </is>
      </c>
      <c r="T79" s="26" t="n">
        <v>10</v>
      </c>
      <c r="U79" s="11">
        <f>ROUNDUP(718.18*(1-$F$3),2)</f>
        <v/>
      </c>
      <c r="V79" s="11" t="n">
        <v>336</v>
      </c>
      <c r="Y79" s="11" t="inlineStr">
        <is>
          <t>Пантелей, Леха, Перышкина и Искусственный Интеллект</t>
        </is>
      </c>
      <c r="Z79" s="11" t="inlineStr">
        <is>
          <t>12+</t>
        </is>
      </c>
      <c r="AA79" s="15" t="n">
        <v>46268</v>
      </c>
      <c r="AB79" s="11" t="inlineStr">
        <is>
          <t>Детская литература</t>
        </is>
      </c>
      <c r="AC79" s="11" t="inlineStr">
        <is>
          <t>Художественная литература</t>
        </is>
      </c>
      <c r="AD79" s="11" t="inlineStr">
        <is>
          <t>Приключения</t>
        </is>
      </c>
      <c r="AE79" s="11" t="inlineStr">
        <is>
          <t>офсетная</t>
        </is>
      </c>
      <c r="AG79" s="11" t="n">
        <v>12254470</v>
      </c>
      <c r="AI79" s="11" t="inlineStr">
        <is>
          <t>4901990000</t>
        </is>
      </c>
    </row>
    <row r="80" customFormat="1" s="1">
      <c r="C80" s="1" t="inlineStr">
        <is>
          <t xml:space="preserve">11576290            </t>
        </is>
      </c>
      <c r="E80" s="1" t="inlineStr">
        <is>
          <t>Под зонтом Аделаиды: роман. Пуэртолас Р.</t>
        </is>
      </c>
      <c r="F80" s="13" t="inlineStr">
        <is>
          <t>См.обл.</t>
        </is>
      </c>
      <c r="G80" s="1" t="inlineStr">
        <is>
          <t>Пуэртолас Р.</t>
        </is>
      </c>
      <c r="H80" s="1" t="inlineStr">
        <is>
          <t>60х90/16</t>
        </is>
      </c>
      <c r="I80" s="1" t="n">
        <v>288</v>
      </c>
      <c r="J80" s="1" t="inlineStr">
        <is>
          <t>РИПОЛ Классик</t>
        </is>
      </c>
      <c r="M80" s="1" t="inlineStr">
        <is>
          <t>2025</t>
        </is>
      </c>
      <c r="N80" s="1" t="inlineStr">
        <is>
          <t>П</t>
        </is>
      </c>
      <c r="O80" s="9" t="n">
        <v>10</v>
      </c>
      <c r="P80" s="1">
        <f>ROUNDUP(1040*(1-$F$3),2)</f>
        <v/>
      </c>
      <c r="Q80" s="1" t="inlineStr">
        <is>
          <t> </t>
        </is>
      </c>
      <c r="R80" s="1" t="inlineStr">
        <is>
          <t>978-5-386-15135-5</t>
        </is>
      </c>
      <c r="S80" s="1" t="inlineStr">
        <is>
          <t>9785386151355</t>
        </is>
      </c>
      <c r="T80" s="9" t="n">
        <v>22</v>
      </c>
      <c r="U80" s="1">
        <f>ROUNDUP(852.46*(1-$F$3),2)</f>
        <v/>
      </c>
      <c r="V80" s="1" t="n">
        <v>378</v>
      </c>
      <c r="Y80" s="1" t="inlineStr">
        <is>
          <t>Под зонтом Аделаиды: роман</t>
        </is>
      </c>
      <c r="Z80" s="1" t="inlineStr">
        <is>
          <t>18+</t>
        </is>
      </c>
      <c r="AA80" s="12" t="n">
        <v>45685</v>
      </c>
      <c r="AB80" s="1" t="inlineStr">
        <is>
          <t>Художественная литература</t>
        </is>
      </c>
      <c r="AC80" s="1" t="inlineStr">
        <is>
          <t>Детективы. Боевики. Триллеры</t>
        </is>
      </c>
      <c r="AD80" s="1" t="inlineStr">
        <is>
          <t>Зарубежный детектив</t>
        </is>
      </c>
      <c r="AE80" s="1" t="inlineStr">
        <is>
          <t>офсетная</t>
        </is>
      </c>
      <c r="AG80" s="1" t="n">
        <v>11576290</v>
      </c>
      <c r="AI80" s="1" t="inlineStr">
        <is>
          <t>4901990000</t>
        </is>
      </c>
    </row>
    <row r="81" customFormat="1" s="1">
      <c r="C81" s="1" t="inlineStr">
        <is>
          <t xml:space="preserve">11532840            </t>
        </is>
      </c>
      <c r="E81" s="1" t="inlineStr">
        <is>
          <t>Под напряжением. Форж С.</t>
        </is>
      </c>
      <c r="F81" s="13" t="inlineStr">
        <is>
          <t>См.обл.</t>
        </is>
      </c>
      <c r="G81" s="1" t="inlineStr">
        <is>
          <t>Форж С.</t>
        </is>
      </c>
      <c r="H81" s="1" t="inlineStr">
        <is>
          <t>84х108/32</t>
        </is>
      </c>
      <c r="I81" s="1" t="n">
        <v>384</v>
      </c>
      <c r="J81" s="1" t="inlineStr">
        <is>
          <t>РИПОЛ Классик</t>
        </is>
      </c>
      <c r="M81" s="1" t="inlineStr">
        <is>
          <t>2025</t>
        </is>
      </c>
      <c r="N81" s="1" t="inlineStr">
        <is>
          <t>П</t>
        </is>
      </c>
      <c r="O81" s="9" t="n">
        <v>8</v>
      </c>
      <c r="P81" s="1">
        <f>ROUNDUP(1270*(1-$F$3),2)</f>
        <v/>
      </c>
      <c r="Q81" s="1" t="inlineStr">
        <is>
          <t> </t>
        </is>
      </c>
      <c r="R81" s="1" t="inlineStr">
        <is>
          <t>978-5-386-15283-3</t>
        </is>
      </c>
      <c r="S81" s="1" t="inlineStr">
        <is>
          <t>9785386152833</t>
        </is>
      </c>
      <c r="T81" s="9" t="n">
        <v>10</v>
      </c>
      <c r="U81" s="1">
        <f>ROUNDUP(1154.55*(1-$F$3),2)</f>
        <v/>
      </c>
      <c r="V81" s="1" t="n">
        <v>401</v>
      </c>
      <c r="Y81" s="1" t="inlineStr">
        <is>
          <t>Под напряжением</t>
        </is>
      </c>
      <c r="Z81" s="1" t="inlineStr">
        <is>
          <t>16+</t>
        </is>
      </c>
      <c r="AA81" s="12" t="n">
        <v>45631</v>
      </c>
      <c r="AB81" s="1" t="inlineStr">
        <is>
          <t>Художественная литература</t>
        </is>
      </c>
      <c r="AC81" s="1" t="inlineStr">
        <is>
          <t>Детективы. Боевики. Триллеры</t>
        </is>
      </c>
      <c r="AD81" s="1" t="inlineStr">
        <is>
          <t>Зарубежный детектив</t>
        </is>
      </c>
      <c r="AE81" s="1" t="inlineStr">
        <is>
          <t>офсетная</t>
        </is>
      </c>
      <c r="AG81" s="1" t="n">
        <v>11532840</v>
      </c>
      <c r="AI81" s="1" t="inlineStr">
        <is>
          <t>4901990000</t>
        </is>
      </c>
      <c r="AJ81" s="1" t="inlineStr">
        <is>
          <t>Зпв</t>
        </is>
      </c>
    </row>
    <row r="82" customFormat="1" s="1">
      <c r="C82" s="1" t="inlineStr">
        <is>
          <t>11664320</t>
        </is>
      </c>
      <c r="E82" s="1" t="inlineStr">
        <is>
          <t>Пожиратели душ; Король в Желтом; День Дьявола (комплект из 3-х  книг). Херли Э.М., Арсдейл П. Ван, Чамберс Р.</t>
        </is>
      </c>
      <c r="F82" s="13" t="inlineStr">
        <is>
          <t>См.обл.</t>
        </is>
      </c>
      <c r="G82" s="1" t="inlineStr">
        <is>
          <t>Херли Э.М., Арсдейл П. Ван, Чамберс Р.</t>
        </is>
      </c>
      <c r="H82" s="1" t="inlineStr">
        <is>
          <t>84х108/32</t>
        </is>
      </c>
      <c r="I82" s="1" t="n">
        <v>1008</v>
      </c>
      <c r="J82" s="1" t="inlineStr">
        <is>
          <t>РИПОЛ Классик</t>
        </is>
      </c>
      <c r="M82" s="1" t="inlineStr">
        <is>
          <t>2025</t>
        </is>
      </c>
      <c r="N82" s="1" t="inlineStr">
        <is>
          <t>П</t>
        </is>
      </c>
      <c r="O82" s="9" t="n"/>
      <c r="P82" s="1">
        <f>ROUNDUP(2930*(1-$F$3),2)</f>
        <v/>
      </c>
      <c r="Q82" s="1" t="inlineStr">
        <is>
          <t> </t>
        </is>
      </c>
      <c r="R82" s="1" t="inlineStr">
        <is>
          <t>978-5-521-84493-7</t>
        </is>
      </c>
      <c r="S82" s="1" t="inlineStr">
        <is>
          <t>9785521844937</t>
        </is>
      </c>
      <c r="T82" s="9" t="n">
        <v>10</v>
      </c>
      <c r="U82" s="1">
        <f>ROUNDUP(2663.64*(1-$F$3),2)</f>
        <v/>
      </c>
      <c r="V82" s="1" t="n">
        <v>1121</v>
      </c>
      <c r="Y82" s="1" t="inlineStr">
        <is>
          <t>Пожиратели душ; Король в Желтом; День Дьявола (комплект из 3-х  книг)</t>
        </is>
      </c>
      <c r="Z82" s="1" t="inlineStr">
        <is>
          <t>16+</t>
        </is>
      </c>
      <c r="AA82" s="12" t="n">
        <v>45706</v>
      </c>
      <c r="AB82" s="1" t="inlineStr">
        <is>
          <t>Художественная литература</t>
        </is>
      </c>
      <c r="AC82" s="1" t="inlineStr">
        <is>
          <t>Фантастика. Мистика. Ужасы</t>
        </is>
      </c>
      <c r="AD82" s="1" t="inlineStr">
        <is>
          <t>Мистика. Ужасы</t>
        </is>
      </c>
      <c r="AE82" s="1" t="inlineStr">
        <is>
          <t>офсетная</t>
        </is>
      </c>
      <c r="AG82" s="1" t="n">
        <v>11664320</v>
      </c>
      <c r="AI82" s="1" t="inlineStr">
        <is>
          <t>4901990000</t>
        </is>
      </c>
    </row>
    <row r="83" customFormat="1" s="1">
      <c r="C83" s="1" t="inlineStr">
        <is>
          <t xml:space="preserve">12139880            </t>
        </is>
      </c>
      <c r="E83" s="1" t="inlineStr">
        <is>
          <t>Последний кризис капитализма. Идеи современной экономики (Подарочное издание). Хазин М.Л.</t>
        </is>
      </c>
      <c r="F83" s="13" t="inlineStr">
        <is>
          <t>См.обл.</t>
        </is>
      </c>
      <c r="G83" s="1" t="inlineStr">
        <is>
          <t>Хазин М.Л.</t>
        </is>
      </c>
      <c r="H83" s="1" t="inlineStr">
        <is>
          <t>70х100/16</t>
        </is>
      </c>
      <c r="I83" s="1" t="n">
        <v>560</v>
      </c>
      <c r="J83" s="1" t="inlineStr">
        <is>
          <t>РИПОЛ Классик</t>
        </is>
      </c>
      <c r="M83" s="1" t="inlineStr">
        <is>
          <t>2026</t>
        </is>
      </c>
      <c r="N83" s="1" t="inlineStr">
        <is>
          <t>П</t>
        </is>
      </c>
      <c r="O83" s="9" t="n">
        <v>5</v>
      </c>
      <c r="P83" s="1">
        <f>ROUNDUP(1980*(1-$F$3),2)</f>
        <v/>
      </c>
      <c r="Q83" s="1" t="inlineStr">
        <is>
          <t> </t>
        </is>
      </c>
      <c r="R83" s="1" t="inlineStr">
        <is>
          <t>978-5-386-15616-9</t>
        </is>
      </c>
      <c r="S83" s="1" t="inlineStr">
        <is>
          <t>9785386156169</t>
        </is>
      </c>
      <c r="T83" s="9" t="n">
        <v>10</v>
      </c>
      <c r="U83" s="1">
        <f>ROUNDUP(1800*(1-$F$3),2)</f>
        <v/>
      </c>
      <c r="V83" s="1" t="n">
        <v>952</v>
      </c>
      <c r="Y83" s="1" t="inlineStr">
        <is>
          <t>Последний кризис капитализма. Идеи современной экономики (Подарочное издание)</t>
        </is>
      </c>
      <c r="Z83" s="1" t="inlineStr">
        <is>
          <t>16+</t>
        </is>
      </c>
      <c r="AA83" s="12" t="n">
        <v>46189</v>
      </c>
      <c r="AB83" s="1" t="inlineStr">
        <is>
          <t>Экономика. Экономические науки</t>
        </is>
      </c>
      <c r="AC83" s="1" t="inlineStr">
        <is>
          <t>Экономика</t>
        </is>
      </c>
      <c r="AD83" s="1" t="inlineStr">
        <is>
          <t>Мировая экономика. Международные экономические отношения</t>
        </is>
      </c>
      <c r="AE83" s="1" t="inlineStr">
        <is>
          <t>офсетная</t>
        </is>
      </c>
      <c r="AG83" s="1" t="n">
        <v>12139880</v>
      </c>
      <c r="AI83" s="1" t="inlineStr">
        <is>
          <t>4901990000</t>
        </is>
      </c>
    </row>
    <row r="84" customFormat="1" s="1">
      <c r="C84" s="1" t="inlineStr">
        <is>
          <t xml:space="preserve">12139870            </t>
        </is>
      </c>
      <c r="E84" s="1" t="inlineStr">
        <is>
          <t>Последний кризис капитализма. Идеи современной экономики. Хазин М.Л.</t>
        </is>
      </c>
      <c r="F84" s="13" t="inlineStr">
        <is>
          <t>См.обл.</t>
        </is>
      </c>
      <c r="G84" s="1" t="inlineStr">
        <is>
          <t>Хазин М.Л.</t>
        </is>
      </c>
      <c r="H84" s="1" t="inlineStr">
        <is>
          <t>70х100/16</t>
        </is>
      </c>
      <c r="I84" s="1" t="n">
        <v>560</v>
      </c>
      <c r="J84" s="1" t="inlineStr">
        <is>
          <t>РИПОЛ Классик</t>
        </is>
      </c>
      <c r="M84" s="1" t="inlineStr">
        <is>
          <t>2027</t>
        </is>
      </c>
      <c r="N84" s="1" t="inlineStr">
        <is>
          <t>П</t>
        </is>
      </c>
      <c r="O84" s="9" t="n">
        <v>8</v>
      </c>
      <c r="P84" s="1">
        <f>ROUNDUP(1980*(1-$F$3),2)</f>
        <v/>
      </c>
      <c r="Q84" s="1" t="inlineStr">
        <is>
          <t> </t>
        </is>
      </c>
      <c r="R84" s="1" t="inlineStr">
        <is>
          <t>978-5-386-15607-7</t>
        </is>
      </c>
      <c r="S84" s="1" t="inlineStr">
        <is>
          <t>9785386156077</t>
        </is>
      </c>
      <c r="T84" s="9" t="n">
        <v>10</v>
      </c>
      <c r="U84" s="1">
        <f>ROUNDUP(1800*(1-$F$3),2)</f>
        <v/>
      </c>
      <c r="V84" s="1" t="n">
        <v>952</v>
      </c>
      <c r="Y84" s="1" t="inlineStr">
        <is>
          <t>Последний кризис капитализма. Идеи современной экономики</t>
        </is>
      </c>
      <c r="Z84" s="1" t="inlineStr">
        <is>
          <t>16+</t>
        </is>
      </c>
      <c r="AA84" s="12" t="n">
        <v>46189</v>
      </c>
      <c r="AB84" s="1" t="inlineStr">
        <is>
          <t>Экономика. Экономические науки</t>
        </is>
      </c>
      <c r="AC84" s="1" t="inlineStr">
        <is>
          <t>Экономика</t>
        </is>
      </c>
      <c r="AD84" s="1" t="inlineStr">
        <is>
          <t>Мировая экономика. Международные экономические отношения</t>
        </is>
      </c>
      <c r="AE84" s="1" t="inlineStr">
        <is>
          <t>офсетная</t>
        </is>
      </c>
      <c r="AG84" s="1" t="n">
        <v>12139870</v>
      </c>
      <c r="AI84" s="1" t="inlineStr">
        <is>
          <t>4901990000</t>
        </is>
      </c>
    </row>
    <row r="85" customFormat="1" s="1">
      <c r="C85" s="1" t="inlineStr">
        <is>
          <t xml:space="preserve">11977380            </t>
        </is>
      </c>
      <c r="E85" s="1" t="inlineStr">
        <is>
          <t>Последний Туарег. Кн. 3. Васкес-Фигероа А.</t>
        </is>
      </c>
      <c r="F85" s="13" t="inlineStr">
        <is>
          <t>См.обл.</t>
        </is>
      </c>
      <c r="G85" s="1" t="inlineStr">
        <is>
          <t>Васкес-Фигероа А.</t>
        </is>
      </c>
      <c r="H85" s="1" t="inlineStr">
        <is>
          <t>60х90/16</t>
        </is>
      </c>
      <c r="I85" s="1" t="n">
        <v>288</v>
      </c>
      <c r="J85" s="1" t="inlineStr">
        <is>
          <t>РИПОЛ Классик</t>
        </is>
      </c>
      <c r="M85" s="1" t="inlineStr">
        <is>
          <t>2026</t>
        </is>
      </c>
      <c r="N85" s="1" t="inlineStr">
        <is>
          <t>П</t>
        </is>
      </c>
      <c r="O85" s="9" t="n">
        <v>8</v>
      </c>
      <c r="P85" s="1">
        <f>ROUNDUP(1000*(1-$F$3),2)</f>
        <v/>
      </c>
      <c r="Q85" s="1" t="inlineStr">
        <is>
          <t> </t>
        </is>
      </c>
      <c r="R85" s="1" t="inlineStr">
        <is>
          <t>978-5-386-15518-6</t>
        </is>
      </c>
      <c r="S85" s="1" t="inlineStr">
        <is>
          <t>9785386155186</t>
        </is>
      </c>
      <c r="T85" s="9" t="n">
        <v>22</v>
      </c>
      <c r="U85" s="1">
        <f>ROUNDUP(819.67*(1-$F$3),2)</f>
        <v/>
      </c>
      <c r="V85" s="1" t="n">
        <v>334</v>
      </c>
      <c r="Y85" s="1" t="inlineStr">
        <is>
          <t>Последний Туарег. Кн. 3</t>
        </is>
      </c>
      <c r="Z85" s="1" t="inlineStr">
        <is>
          <t>18+</t>
        </is>
      </c>
      <c r="AA85" s="12" t="n">
        <v>46020</v>
      </c>
      <c r="AB85" s="1" t="inlineStr">
        <is>
          <t>Художественная литература</t>
        </is>
      </c>
      <c r="AC85" s="1" t="inlineStr">
        <is>
          <t>Приключенческая проза</t>
        </is>
      </c>
      <c r="AD85" s="1" t="inlineStr">
        <is>
          <t>Зарубежная приключенческая проза</t>
        </is>
      </c>
      <c r="AE85" s="1" t="inlineStr">
        <is>
          <t>офсетная</t>
        </is>
      </c>
      <c r="AG85" s="1" t="n">
        <v>11977380</v>
      </c>
      <c r="AI85" s="1" t="inlineStr">
        <is>
          <t>4901990000</t>
        </is>
      </c>
      <c r="AJ85" s="1" t="inlineStr">
        <is>
          <t>Зпв</t>
        </is>
      </c>
    </row>
    <row r="86" customFormat="1" s="1">
      <c r="C86" s="1" t="inlineStr">
        <is>
          <t xml:space="preserve">11220600            </t>
        </is>
      </c>
      <c r="E86" s="1" t="inlineStr">
        <is>
          <t>Пробужденное сознание. Цитаты для медитации. Толле Э.</t>
        </is>
      </c>
      <c r="F86" s="13" t="inlineStr">
        <is>
          <t>См.обл.</t>
        </is>
      </c>
      <c r="G86" s="1" t="inlineStr">
        <is>
          <t>Толле Э.</t>
        </is>
      </c>
      <c r="H86" s="1" t="inlineStr">
        <is>
          <t>84х108/32</t>
        </is>
      </c>
      <c r="I86" s="1" t="n">
        <v>128</v>
      </c>
      <c r="J86" s="1" t="inlineStr">
        <is>
          <t>РИПОЛ Классик</t>
        </is>
      </c>
      <c r="M86" s="1" t="inlineStr">
        <is>
          <t>2026</t>
        </is>
      </c>
      <c r="N86" s="1" t="inlineStr">
        <is>
          <t>П</t>
        </is>
      </c>
      <c r="O86" s="9" t="n">
        <v>20</v>
      </c>
      <c r="P86" s="1">
        <f>ROUNDUP(680*(1-$F$3),2)</f>
        <v/>
      </c>
      <c r="Q86" s="1" t="inlineStr">
        <is>
          <t> </t>
        </is>
      </c>
      <c r="R86" s="1" t="inlineStr">
        <is>
          <t>978-5-386-15132-4</t>
        </is>
      </c>
      <c r="S86" s="1" t="inlineStr">
        <is>
          <t>9785386151324</t>
        </is>
      </c>
      <c r="T86" s="9" t="n">
        <v>22</v>
      </c>
      <c r="U86" s="1">
        <f>ROUNDUP(557.38*(1-$F$3),2)</f>
        <v/>
      </c>
      <c r="V86" s="1" t="n">
        <v>229</v>
      </c>
      <c r="Y86" s="1" t="inlineStr">
        <is>
          <t>Пробужденное сознание. Цитаты для медитации</t>
        </is>
      </c>
      <c r="Z86" s="1" t="inlineStr">
        <is>
          <t>12+</t>
        </is>
      </c>
      <c r="AA86" s="12" t="n">
        <v>45330</v>
      </c>
      <c r="AB86" s="1" t="inlineStr">
        <is>
          <t>Религии. Эзотерика. Оккультизм</t>
        </is>
      </c>
      <c r="AC86" s="1" t="inlineStr">
        <is>
          <t>Эзотерика. Парапсихология. Тайны</t>
        </is>
      </c>
      <c r="AD86" s="1" t="inlineStr">
        <is>
          <t>Духовные практики</t>
        </is>
      </c>
      <c r="AE86" s="1" t="inlineStr">
        <is>
          <t>офсетная</t>
        </is>
      </c>
      <c r="AG86" s="1" t="n">
        <v>11220600</v>
      </c>
      <c r="AI86" s="1" t="inlineStr">
        <is>
          <t>4901990000</t>
        </is>
      </c>
    </row>
    <row r="87" customFormat="1" s="1">
      <c r="C87" s="1" t="inlineStr">
        <is>
          <t xml:space="preserve">11800690            </t>
        </is>
      </c>
      <c r="E87" s="1" t="inlineStr">
        <is>
          <t>Простовещи. История мира через легендарные товары и любимые продукты. Минаев С.С., Файб А.</t>
        </is>
      </c>
      <c r="F87" s="13" t="inlineStr">
        <is>
          <t>См.обл.</t>
        </is>
      </c>
      <c r="G87" s="1" t="inlineStr">
        <is>
          <t>Минаев С.С., Файб А.</t>
        </is>
      </c>
      <c r="H87" s="1" t="inlineStr">
        <is>
          <t>70х100/16</t>
        </is>
      </c>
      <c r="I87" s="1" t="n">
        <v>304</v>
      </c>
      <c r="J87" s="1" t="inlineStr">
        <is>
          <t>РИПОЛ Классик</t>
        </is>
      </c>
      <c r="M87" s="1" t="inlineStr">
        <is>
          <t>2026</t>
        </is>
      </c>
      <c r="N87" s="1" t="inlineStr">
        <is>
          <t>П</t>
        </is>
      </c>
      <c r="O87" s="9" t="n">
        <v>6</v>
      </c>
      <c r="P87" s="1">
        <f>ROUNDUP(1670*(1-$F$3),2)</f>
        <v/>
      </c>
      <c r="Q87" s="1" t="inlineStr">
        <is>
          <t> </t>
        </is>
      </c>
      <c r="R87" s="1" t="inlineStr">
        <is>
          <t>978-5-386-15469-1</t>
        </is>
      </c>
      <c r="S87" s="1" t="inlineStr">
        <is>
          <t>9785386154691</t>
        </is>
      </c>
      <c r="T87" s="9" t="n">
        <v>10</v>
      </c>
      <c r="U87" s="1">
        <f>ROUNDUP(1518.18*(1-$F$3),2)</f>
        <v/>
      </c>
      <c r="V87" s="1" t="n">
        <v>791</v>
      </c>
      <c r="Y87" s="1" t="inlineStr">
        <is>
          <t>Простовещи. История мира через легендарные товары и любимые продукты</t>
        </is>
      </c>
      <c r="Z87" s="1" t="inlineStr">
        <is>
          <t>16+</t>
        </is>
      </c>
      <c r="AA87" s="12" t="n">
        <v>45866</v>
      </c>
      <c r="AB87" s="1" t="inlineStr">
        <is>
          <t>Гуманитарные науки</t>
        </is>
      </c>
      <c r="AC87" s="1" t="inlineStr">
        <is>
          <t>История</t>
        </is>
      </c>
      <c r="AD87" s="1" t="inlineStr">
        <is>
          <t>Источниковедение. Вспомогательные исторические дисциплины</t>
        </is>
      </c>
      <c r="AE87" s="1" t="inlineStr">
        <is>
          <t>офсетная</t>
        </is>
      </c>
      <c r="AG87" s="1" t="n">
        <v>11800690</v>
      </c>
      <c r="AI87" s="1" t="inlineStr">
        <is>
          <t>4901990000</t>
        </is>
      </c>
    </row>
    <row r="88" customFormat="1" s="1">
      <c r="C88" s="1" t="inlineStr">
        <is>
          <t>11866040</t>
        </is>
      </c>
      <c r="E88" s="1" t="inlineStr">
        <is>
          <t>Простовещи. История мира через легендарные товары и любимые продукты; Бунт и смута на Руси (комплект из 2-х книг). Минаев С.С., Файб А.</t>
        </is>
      </c>
      <c r="F88" s="13" t="inlineStr">
        <is>
          <t>См.обл.</t>
        </is>
      </c>
      <c r="G88" s="1" t="inlineStr">
        <is>
          <t>Минаев С.С., Файб А.</t>
        </is>
      </c>
      <c r="H88" s="1" t="inlineStr">
        <is>
          <t>70х100/16</t>
        </is>
      </c>
      <c r="I88" s="1" t="n">
        <v>560</v>
      </c>
      <c r="J88" s="1" t="inlineStr">
        <is>
          <t>РИПОЛ Классик</t>
        </is>
      </c>
      <c r="M88" s="1" t="inlineStr">
        <is>
          <t>2026</t>
        </is>
      </c>
      <c r="N88" s="1" t="inlineStr">
        <is>
          <t>П</t>
        </is>
      </c>
      <c r="O88" s="9" t="n"/>
      <c r="P88" s="1">
        <f>ROUNDUP(2760*(1-$F$3),2)</f>
        <v/>
      </c>
      <c r="Q88" s="1" t="inlineStr">
        <is>
          <t> </t>
        </is>
      </c>
      <c r="R88" s="1" t="inlineStr">
        <is>
          <t>978-5-8853-7851-2</t>
        </is>
      </c>
      <c r="S88" s="1" t="inlineStr">
        <is>
          <t>9785885378512</t>
        </is>
      </c>
      <c r="T88" s="9" t="n">
        <v>10</v>
      </c>
      <c r="U88" s="1">
        <f>ROUNDUP(2509.09*(1-$F$3),2)</f>
        <v/>
      </c>
      <c r="V88" s="1" t="n">
        <v>1491</v>
      </c>
      <c r="Y88" s="1" t="inlineStr">
        <is>
          <t>Простовещи. История мира через легендарные товары и любимые продукты; Бунт и смута на Руси (комплект из 2-х книг)</t>
        </is>
      </c>
      <c r="Z88" s="1" t="inlineStr">
        <is>
          <t>16+</t>
        </is>
      </c>
      <c r="AA88" s="12" t="n">
        <v>45896</v>
      </c>
      <c r="AB88" s="1" t="inlineStr">
        <is>
          <t>Гуманитарные науки</t>
        </is>
      </c>
      <c r="AC88" s="1" t="inlineStr">
        <is>
          <t>История</t>
        </is>
      </c>
      <c r="AD88" s="1" t="inlineStr">
        <is>
          <t>Всемирная история. История цивилизаций</t>
        </is>
      </c>
      <c r="AE88" s="1" t="inlineStr">
        <is>
          <t>офсетная</t>
        </is>
      </c>
      <c r="AG88" s="1" t="n">
        <v>11866040</v>
      </c>
      <c r="AI88" s="1" t="inlineStr">
        <is>
          <t>4901990000</t>
        </is>
      </c>
    </row>
    <row r="89" customFormat="1" s="1">
      <c r="C89" s="1" t="inlineStr">
        <is>
          <t>12277800</t>
        </is>
      </c>
      <c r="E89" s="1" t="inlineStr">
        <is>
          <t>Психология общения (комплект из 3-х книг). Блаво Р., Александров А.Ф., Мессинжер Ж.</t>
        </is>
      </c>
      <c r="F89" s="13" t="inlineStr">
        <is>
          <t>См.обл.</t>
        </is>
      </c>
      <c r="G89" s="1" t="inlineStr">
        <is>
          <t>Блаво Р., Александров А.Ф., Мессинжер Ж.</t>
        </is>
      </c>
      <c r="H89" s="1" t="inlineStr">
        <is>
          <t>60х90/16</t>
        </is>
      </c>
      <c r="I89" s="1" t="n">
        <v>1280</v>
      </c>
      <c r="J89" s="1" t="inlineStr">
        <is>
          <t>РИПОЛ Классик</t>
        </is>
      </c>
      <c r="M89" s="1" t="inlineStr">
        <is>
          <t>2025</t>
        </is>
      </c>
      <c r="N89" s="1" t="inlineStr">
        <is>
          <t>П</t>
        </is>
      </c>
      <c r="O89" s="9" t="n"/>
      <c r="P89" s="1">
        <f>ROUNDUP(2830*(1-$F$3),2)</f>
        <v/>
      </c>
      <c r="Q89" s="1" t="inlineStr">
        <is>
          <t> </t>
        </is>
      </c>
      <c r="R89" s="1" t="inlineStr">
        <is>
          <t>978-5-8854-0339-9</t>
        </is>
      </c>
      <c r="S89" s="1" t="inlineStr">
        <is>
          <t>9785885403399</t>
        </is>
      </c>
      <c r="T89" s="9" t="n">
        <v>22</v>
      </c>
      <c r="U89" s="1">
        <f>ROUNDUP(2319.67*(1-$F$3),2)</f>
        <v/>
      </c>
      <c r="V89" s="1" t="n">
        <v>1094</v>
      </c>
      <c r="Y89" s="1" t="inlineStr">
        <is>
          <t>Психология общения (комплект из 3-х книг)</t>
        </is>
      </c>
      <c r="Z89" s="1" t="inlineStr">
        <is>
          <t>16+</t>
        </is>
      </c>
      <c r="AA89" s="12" t="n">
        <v>46281</v>
      </c>
      <c r="AB89" s="1" t="inlineStr">
        <is>
          <t>Гуманитарные науки</t>
        </is>
      </c>
      <c r="AC89" s="1" t="inlineStr">
        <is>
          <t>Психология</t>
        </is>
      </c>
      <c r="AD89" s="1" t="inlineStr">
        <is>
          <t>Социальная психология. Психология отношений. Коммуникации</t>
        </is>
      </c>
      <c r="AE89" s="1" t="inlineStr">
        <is>
          <t>офсетная</t>
        </is>
      </c>
      <c r="AG89" s="1" t="n">
        <v>12277800</v>
      </c>
      <c r="AI89" s="1" t="inlineStr">
        <is>
          <t>4901990000</t>
        </is>
      </c>
    </row>
    <row r="90" customFormat="1" s="1">
      <c r="C90" s="1" t="inlineStr">
        <is>
          <t xml:space="preserve">11799090            </t>
        </is>
      </c>
      <c r="E90" s="1" t="inlineStr">
        <is>
          <t>Путешествие в Элладу. Фрагментарный роман. Васильев В.Е., Ларская Е.М.</t>
        </is>
      </c>
      <c r="F90" s="13" t="inlineStr">
        <is>
          <t>См.обл.</t>
        </is>
      </c>
      <c r="G90" s="1" t="inlineStr">
        <is>
          <t>Васильев В.Е., Ларская Е.М.</t>
        </is>
      </c>
      <c r="H90" s="1" t="inlineStr">
        <is>
          <t>60х84/16</t>
        </is>
      </c>
      <c r="I90" s="1" t="n">
        <v>192</v>
      </c>
      <c r="J90" s="1" t="inlineStr">
        <is>
          <t>РИПОЛ Классик</t>
        </is>
      </c>
      <c r="M90" s="1" t="inlineStr">
        <is>
          <t>2025</t>
        </is>
      </c>
      <c r="N90" s="1" t="inlineStr">
        <is>
          <t>П</t>
        </is>
      </c>
      <c r="O90" s="9" t="n">
        <v>10</v>
      </c>
      <c r="P90" s="1">
        <f>ROUNDUP(2730*(1-$F$3),2)</f>
        <v/>
      </c>
      <c r="Q90" s="1" t="inlineStr">
        <is>
          <t> </t>
        </is>
      </c>
      <c r="R90" s="1" t="inlineStr">
        <is>
          <t>978-5-386-15461-5</t>
        </is>
      </c>
      <c r="S90" s="1" t="inlineStr">
        <is>
          <t>9785386154615</t>
        </is>
      </c>
      <c r="T90" s="9" t="n">
        <v>10</v>
      </c>
      <c r="U90" s="1">
        <f>ROUNDUP(2481.82*(1-$F$3),2)</f>
        <v/>
      </c>
      <c r="V90" s="1" t="n">
        <v>418</v>
      </c>
      <c r="Y90" s="1" t="inlineStr">
        <is>
          <t>Путешествие в Элладу. Фрагментарный роман</t>
        </is>
      </c>
      <c r="Z90" s="1" t="inlineStr">
        <is>
          <t>12+</t>
        </is>
      </c>
      <c r="AA90" s="12" t="n">
        <v>45868</v>
      </c>
      <c r="AB90" s="1" t="inlineStr">
        <is>
          <t>Художественно-документальная проза</t>
        </is>
      </c>
      <c r="AC90" s="1" t="inlineStr">
        <is>
          <t>Публицистика</t>
        </is>
      </c>
      <c r="AD90" s="1" t="inlineStr">
        <is>
          <t>Художественная публицистика. Хроники событий</t>
        </is>
      </c>
      <c r="AE90" s="1" t="inlineStr">
        <is>
          <t>мелованная</t>
        </is>
      </c>
      <c r="AG90" s="1" t="n">
        <v>11799090</v>
      </c>
      <c r="AI90" s="1" t="inlineStr">
        <is>
          <t>4901990000</t>
        </is>
      </c>
    </row>
    <row r="91" customFormat="1" s="1">
      <c r="C91" s="1" t="inlineStr">
        <is>
          <t xml:space="preserve">11903060            </t>
        </is>
      </c>
      <c r="E91" s="1" t="inlineStr">
        <is>
          <t>Путь бессознательного. Все о гипнозе, регрессе и прошлых жизнях: практическое руководство. Полетаева Н.Н.</t>
        </is>
      </c>
      <c r="F91" s="13" t="inlineStr">
        <is>
          <t>См.обл.</t>
        </is>
      </c>
      <c r="G91" s="1" t="inlineStr">
        <is>
          <t>Полетаева Н.Н.</t>
        </is>
      </c>
      <c r="H91" s="1" t="inlineStr">
        <is>
          <t>84х108/32</t>
        </is>
      </c>
      <c r="I91" s="1" t="n">
        <v>176</v>
      </c>
      <c r="J91" s="1" t="inlineStr">
        <is>
          <t>РИПОЛ Классик</t>
        </is>
      </c>
      <c r="M91" s="1" t="inlineStr">
        <is>
          <t>2025</t>
        </is>
      </c>
      <c r="N91" s="1" t="inlineStr">
        <is>
          <t>П</t>
        </is>
      </c>
      <c r="O91" s="9" t="n">
        <v>10</v>
      </c>
      <c r="P91" s="1">
        <f>ROUNDUP(890*(1-$F$3),2)</f>
        <v/>
      </c>
      <c r="Q91" s="1" t="inlineStr">
        <is>
          <t> </t>
        </is>
      </c>
      <c r="R91" s="1" t="inlineStr">
        <is>
          <t>978-5-386-15485-1</t>
        </is>
      </c>
      <c r="S91" s="1" t="inlineStr">
        <is>
          <t>9785386154851</t>
        </is>
      </c>
      <c r="T91" s="9" t="n">
        <v>10</v>
      </c>
      <c r="U91" s="1">
        <f>ROUNDUP(809.09*(1-$F$3),2)</f>
        <v/>
      </c>
      <c r="V91" s="1" t="n">
        <v>273</v>
      </c>
      <c r="Y91" s="1" t="inlineStr">
        <is>
          <t>Путь бессознательного. Все о гипнозе, регрессе и прошлых жизнях: практическое руководство</t>
        </is>
      </c>
      <c r="Z91" s="1" t="inlineStr">
        <is>
          <t>16+</t>
        </is>
      </c>
      <c r="AA91" s="12" t="n">
        <v>45938</v>
      </c>
      <c r="AB91" s="1" t="inlineStr">
        <is>
          <t>Гуманитарные науки</t>
        </is>
      </c>
      <c r="AC91" s="1" t="inlineStr">
        <is>
          <t>Психология</t>
        </is>
      </c>
      <c r="AD91" s="1" t="inlineStr">
        <is>
          <t>Глубинная психология. Психоанализ</t>
        </is>
      </c>
      <c r="AE91" s="1" t="inlineStr">
        <is>
          <t>офсетная</t>
        </is>
      </c>
      <c r="AG91" s="1" t="n">
        <v>11903060</v>
      </c>
      <c r="AI91" s="1" t="inlineStr">
        <is>
          <t>4901990000</t>
        </is>
      </c>
    </row>
    <row r="92" customFormat="1" s="1">
      <c r="C92" s="1" t="inlineStr">
        <is>
          <t xml:space="preserve">12083560            </t>
        </is>
      </c>
      <c r="E92" s="1" t="inlineStr">
        <is>
          <t>Пятый лишний. Бастиан А.</t>
        </is>
      </c>
      <c r="F92" s="13" t="inlineStr">
        <is>
          <t>См.обл.</t>
        </is>
      </c>
      <c r="G92" s="1" t="inlineStr">
        <is>
          <t>Бастиан А.</t>
        </is>
      </c>
      <c r="H92" s="1" t="inlineStr">
        <is>
          <t>60х90/16</t>
        </is>
      </c>
      <c r="I92" s="1" t="n">
        <v>384</v>
      </c>
      <c r="J92" s="1" t="inlineStr">
        <is>
          <t>РИПОЛ Классик</t>
        </is>
      </c>
      <c r="M92" s="1" t="inlineStr">
        <is>
          <t>2026</t>
        </is>
      </c>
      <c r="N92" s="1" t="inlineStr">
        <is>
          <t>П</t>
        </is>
      </c>
      <c r="O92" s="9" t="n">
        <v>6</v>
      </c>
      <c r="P92" s="1">
        <f>ROUNDUP(990*(1-$F$3),2)</f>
        <v/>
      </c>
      <c r="Q92" s="1" t="inlineStr">
        <is>
          <t> </t>
        </is>
      </c>
      <c r="R92" s="1" t="inlineStr">
        <is>
          <t>978-5-386-15536-0</t>
        </is>
      </c>
      <c r="S92" s="1" t="inlineStr">
        <is>
          <t>9785386155360</t>
        </is>
      </c>
      <c r="T92" s="9" t="n">
        <v>22</v>
      </c>
      <c r="U92" s="1">
        <f>ROUNDUP(811.48*(1-$F$3),2)</f>
        <v/>
      </c>
      <c r="V92" s="1" t="n">
        <v>416</v>
      </c>
      <c r="Y92" s="1" t="inlineStr">
        <is>
          <t>Пятый лишний</t>
        </is>
      </c>
      <c r="Z92" s="1" t="inlineStr">
        <is>
          <t>18+</t>
        </is>
      </c>
      <c r="AA92" s="12" t="n">
        <v>46135</v>
      </c>
      <c r="AB92" s="1" t="inlineStr">
        <is>
          <t>Художественная литература</t>
        </is>
      </c>
      <c r="AC92" s="1" t="inlineStr">
        <is>
          <t>Детективы. Боевики. Триллеры</t>
        </is>
      </c>
      <c r="AD92" s="1" t="inlineStr">
        <is>
          <t>Триллеры</t>
        </is>
      </c>
      <c r="AE92" s="1" t="inlineStr">
        <is>
          <t>офсетная</t>
        </is>
      </c>
      <c r="AG92" s="1" t="n">
        <v>12083560</v>
      </c>
      <c r="AI92" s="1" t="inlineStr">
        <is>
          <t>4901990000</t>
        </is>
      </c>
      <c r="AJ92" s="1" t="inlineStr">
        <is>
          <t>Зпв</t>
        </is>
      </c>
    </row>
    <row r="93" customFormat="1" s="1">
      <c r="C93" s="1" t="inlineStr">
        <is>
          <t>11782490</t>
        </is>
      </c>
      <c r="E93" s="1" t="inlineStr">
        <is>
          <t>Самоосвобождающаяся Игра, или Алхимия Артистического Мастерства; От акта к актерству. Руководство Яна Фабра для перформера XXI в(комплект из 2-х книг0. Демчог В.В., Фабр Я., Дрис Л., ван ден</t>
        </is>
      </c>
      <c r="F93" s="13" t="inlineStr">
        <is>
          <t>См.обл.</t>
        </is>
      </c>
      <c r="G93" s="1" t="inlineStr">
        <is>
          <t>Демчог В.В., Фабр Я., Дрис Л., ван ден</t>
        </is>
      </c>
      <c r="H93" s="1" t="inlineStr">
        <is>
          <t>70х100/16</t>
        </is>
      </c>
      <c r="I93" s="1" t="n">
        <v>1010</v>
      </c>
      <c r="J93" s="1" t="inlineStr">
        <is>
          <t>РИПОЛ Классик</t>
        </is>
      </c>
      <c r="M93" s="1" t="inlineStr">
        <is>
          <t>2026</t>
        </is>
      </c>
      <c r="N93" s="1" t="inlineStr">
        <is>
          <t>П</t>
        </is>
      </c>
      <c r="O93" s="9" t="n"/>
      <c r="P93" s="1">
        <f>ROUNDUP(3680*(1-$F$3),2)</f>
        <v/>
      </c>
      <c r="Q93" s="1" t="inlineStr">
        <is>
          <t> </t>
        </is>
      </c>
      <c r="R93" s="1" t="inlineStr">
        <is>
          <t>978-5-8853-7033-2</t>
        </is>
      </c>
      <c r="S93" s="1" t="inlineStr">
        <is>
          <t>9785885370332</t>
        </is>
      </c>
      <c r="T93" s="9" t="n">
        <v>22</v>
      </c>
      <c r="U93" s="1">
        <f>ROUNDUP(3016.39*(1-$F$3),2)</f>
        <v/>
      </c>
      <c r="V93" s="1" t="n">
        <v>1688</v>
      </c>
      <c r="Y93" s="1" t="inlineStr">
        <is>
          <t>Самоосвобождающаяся Игра, или Алхимия Артистического Мастерства; От акта к актерству. Руководство Яна Фабра для перформера XXI в(комплект из 2-х книг0</t>
        </is>
      </c>
      <c r="Z93" s="1" t="inlineStr">
        <is>
          <t>18+</t>
        </is>
      </c>
      <c r="AA93" s="12" t="n">
        <v>45814</v>
      </c>
      <c r="AB93" s="1" t="inlineStr">
        <is>
          <t>Искусство</t>
        </is>
      </c>
      <c r="AC93" s="1" t="inlineStr">
        <is>
          <t>Музыка и зрелищные искусства</t>
        </is>
      </c>
      <c r="AD93" s="1" t="inlineStr">
        <is>
          <t>Театр (драматический, музыкальный, кукольный)</t>
        </is>
      </c>
      <c r="AE93" s="1" t="inlineStr">
        <is>
          <t>офсетная</t>
        </is>
      </c>
      <c r="AG93" s="1" t="n">
        <v>11782490</v>
      </c>
      <c r="AI93" s="1" t="inlineStr">
        <is>
          <t>4901990000</t>
        </is>
      </c>
      <c r="AJ93" s="1" t="inlineStr">
        <is>
          <t>Зпв</t>
        </is>
      </c>
    </row>
    <row r="94" customFormat="1" s="1">
      <c r="C94" s="1" t="inlineStr">
        <is>
          <t xml:space="preserve">12082510            </t>
        </is>
      </c>
      <c r="E94" s="1" t="inlineStr">
        <is>
          <t>Свои и не только. Сухотина И.</t>
        </is>
      </c>
      <c r="F94" s="13" t="inlineStr">
        <is>
          <t>См.обл.</t>
        </is>
      </c>
      <c r="G94" s="1" t="inlineStr">
        <is>
          <t>Сухотина И.</t>
        </is>
      </c>
      <c r="H94" s="1" t="inlineStr">
        <is>
          <t>60х90/16</t>
        </is>
      </c>
      <c r="I94" s="1" t="n">
        <v>96</v>
      </c>
      <c r="J94" s="1" t="inlineStr">
        <is>
          <t>РИПОЛ Классик</t>
        </is>
      </c>
      <c r="M94" s="1" t="inlineStr">
        <is>
          <t>2026</t>
        </is>
      </c>
      <c r="N94" s="1" t="inlineStr">
        <is>
          <t>П</t>
        </is>
      </c>
      <c r="O94" s="9" t="n">
        <v>20</v>
      </c>
      <c r="P94" s="1">
        <f>ROUNDUP(690*(1-$F$3),2)</f>
        <v/>
      </c>
      <c r="Q94" s="1" t="inlineStr">
        <is>
          <t> </t>
        </is>
      </c>
      <c r="R94" s="1" t="inlineStr">
        <is>
          <t>978-5-386-15612-1</t>
        </is>
      </c>
      <c r="S94" s="1" t="inlineStr">
        <is>
          <t>9785386156121</t>
        </is>
      </c>
      <c r="T94" s="9" t="n">
        <v>10</v>
      </c>
      <c r="U94" s="1">
        <f>ROUNDUP(627.27*(1-$F$3),2)</f>
        <v/>
      </c>
      <c r="V94" s="1" t="n">
        <v>223</v>
      </c>
      <c r="Y94" s="1" t="inlineStr">
        <is>
          <t>Свои и не только</t>
        </is>
      </c>
      <c r="Z94" s="1" t="inlineStr">
        <is>
          <t>16+</t>
        </is>
      </c>
      <c r="AA94" s="12" t="n">
        <v>46119</v>
      </c>
      <c r="AB94" s="1" t="inlineStr">
        <is>
          <t>Художественная литература</t>
        </is>
      </c>
      <c r="AC94" s="1" t="inlineStr">
        <is>
          <t>Русская литература</t>
        </is>
      </c>
      <c r="AD94" s="1" t="inlineStr">
        <is>
          <t>Современная литература</t>
        </is>
      </c>
      <c r="AE94" s="1" t="inlineStr">
        <is>
          <t>офсетная</t>
        </is>
      </c>
      <c r="AG94" s="1" t="n">
        <v>12082510</v>
      </c>
      <c r="AI94" s="1" t="inlineStr">
        <is>
          <t>4901990000</t>
        </is>
      </c>
    </row>
    <row r="95" customFormat="1" s="1">
      <c r="C95" s="1" t="inlineStr">
        <is>
          <t xml:space="preserve">12057120            </t>
        </is>
      </c>
      <c r="E95" s="1" t="inlineStr">
        <is>
          <t>Свои: сборник рассказов. Сухотина И.</t>
        </is>
      </c>
      <c r="F95" s="13" t="inlineStr">
        <is>
          <t>См.обл.</t>
        </is>
      </c>
      <c r="G95" s="1" t="inlineStr">
        <is>
          <t>Сухотина И.</t>
        </is>
      </c>
      <c r="H95" s="1" t="inlineStr">
        <is>
          <t>60х90/16</t>
        </is>
      </c>
      <c r="I95" s="1" t="n">
        <v>112</v>
      </c>
      <c r="J95" s="1" t="inlineStr">
        <is>
          <t>РИПОЛ Классик</t>
        </is>
      </c>
      <c r="M95" s="1" t="inlineStr">
        <is>
          <t>2026</t>
        </is>
      </c>
      <c r="N95" s="1" t="inlineStr">
        <is>
          <t>П</t>
        </is>
      </c>
      <c r="O95" s="9" t="n">
        <v>10</v>
      </c>
      <c r="P95" s="1">
        <f>ROUNDUP(790*(1-$F$3),2)</f>
        <v/>
      </c>
      <c r="Q95" s="1" t="inlineStr">
        <is>
          <t> </t>
        </is>
      </c>
      <c r="R95" s="1" t="inlineStr">
        <is>
          <t>978-5-386-15592-6</t>
        </is>
      </c>
      <c r="S95" s="1" t="inlineStr">
        <is>
          <t>9785386155926</t>
        </is>
      </c>
      <c r="T95" s="9" t="n">
        <v>10</v>
      </c>
      <c r="U95" s="1">
        <f>ROUNDUP(718.18*(1-$F$3),2)</f>
        <v/>
      </c>
      <c r="V95" s="1" t="n">
        <v>239</v>
      </c>
      <c r="Y95" s="1" t="inlineStr">
        <is>
          <t>Свои: сборник рассказов</t>
        </is>
      </c>
      <c r="Z95" s="1" t="inlineStr">
        <is>
          <t>16+</t>
        </is>
      </c>
      <c r="AA95" s="12" t="n">
        <v>46093</v>
      </c>
      <c r="AB95" s="1" t="inlineStr">
        <is>
          <t>Художественная литература</t>
        </is>
      </c>
      <c r="AC95" s="1" t="inlineStr">
        <is>
          <t>Русская литература</t>
        </is>
      </c>
      <c r="AD95" s="1" t="inlineStr">
        <is>
          <t>Современная литература</t>
        </is>
      </c>
      <c r="AE95" s="1" t="inlineStr">
        <is>
          <t>офсетная</t>
        </is>
      </c>
      <c r="AG95" s="1" t="n">
        <v>12057120</v>
      </c>
      <c r="AI95" s="1" t="inlineStr">
        <is>
          <t>4901990000</t>
        </is>
      </c>
    </row>
    <row r="96" customFormat="1" s="1">
      <c r="C96" s="1" t="inlineStr">
        <is>
          <t xml:space="preserve">11798480            </t>
        </is>
      </c>
      <c r="E96" s="1" t="inlineStr">
        <is>
          <t>Семья. Шульц Г.</t>
        </is>
      </c>
      <c r="F96" s="13" t="inlineStr">
        <is>
          <t>См.обл.</t>
        </is>
      </c>
      <c r="G96" s="1" t="inlineStr">
        <is>
          <t>Шульц Г.</t>
        </is>
      </c>
      <c r="H96" s="1" t="inlineStr">
        <is>
          <t>60х90/16</t>
        </is>
      </c>
      <c r="I96" s="1" t="n">
        <v>288</v>
      </c>
      <c r="J96" s="1" t="inlineStr">
        <is>
          <t>РИПОЛ Классик</t>
        </is>
      </c>
      <c r="M96" s="1" t="inlineStr">
        <is>
          <t>2026</t>
        </is>
      </c>
      <c r="N96" s="1" t="inlineStr">
        <is>
          <t>П</t>
        </is>
      </c>
      <c r="O96" s="9" t="n">
        <v>12</v>
      </c>
      <c r="P96" s="1">
        <f>ROUNDUP(1000*(1-$F$3),2)</f>
        <v/>
      </c>
      <c r="Q96" s="1" t="inlineStr">
        <is>
          <t> </t>
        </is>
      </c>
      <c r="R96" s="1" t="inlineStr">
        <is>
          <t>978-5-386-15449-3</t>
        </is>
      </c>
      <c r="S96" s="1" t="inlineStr">
        <is>
          <t>9785386154493</t>
        </is>
      </c>
      <c r="T96" s="9" t="n">
        <v>22</v>
      </c>
      <c r="U96" s="1">
        <f>ROUNDUP(819.67*(1-$F$3),2)</f>
        <v/>
      </c>
      <c r="V96" s="1" t="n">
        <v>445</v>
      </c>
      <c r="Y96" s="1" t="inlineStr">
        <is>
          <t>Семья</t>
        </is>
      </c>
      <c r="Z96" s="1" t="inlineStr">
        <is>
          <t>18+</t>
        </is>
      </c>
      <c r="AA96" s="12" t="n">
        <v>45848</v>
      </c>
      <c r="AB96" s="1" t="inlineStr">
        <is>
          <t>Художественная литература</t>
        </is>
      </c>
      <c r="AC96" s="1" t="inlineStr">
        <is>
          <t>Русская литература</t>
        </is>
      </c>
      <c r="AD96" s="1" t="inlineStr">
        <is>
          <t>Современная литература</t>
        </is>
      </c>
      <c r="AE96" s="1" t="inlineStr">
        <is>
          <t>офсетная</t>
        </is>
      </c>
      <c r="AG96" s="1" t="n">
        <v>11798480</v>
      </c>
      <c r="AI96" s="1" t="inlineStr">
        <is>
          <t>4901990000</t>
        </is>
      </c>
    </row>
    <row r="97" customFormat="1" s="1">
      <c r="C97" s="1" t="inlineStr">
        <is>
          <t xml:space="preserve">10466070            </t>
        </is>
      </c>
      <c r="E97" s="1" t="inlineStr">
        <is>
          <t>Сердце Кая. Рой О.Ю.</t>
        </is>
      </c>
      <c r="F97" s="13" t="inlineStr">
        <is>
          <t>См.обл.</t>
        </is>
      </c>
      <c r="G97" s="1" t="inlineStr">
        <is>
          <t>Рой О.Ю.</t>
        </is>
      </c>
      <c r="H97" s="1" t="inlineStr">
        <is>
          <t>60х90/16</t>
        </is>
      </c>
      <c r="I97" s="1" t="n">
        <v>368</v>
      </c>
      <c r="J97" s="1" t="inlineStr">
        <is>
          <t>РИПОЛ Классик</t>
        </is>
      </c>
      <c r="M97" s="1" t="inlineStr">
        <is>
          <t>2022</t>
        </is>
      </c>
      <c r="N97" s="1" t="inlineStr">
        <is>
          <t>О</t>
        </is>
      </c>
      <c r="O97" s="9" t="n">
        <v>15</v>
      </c>
      <c r="P97" s="1">
        <f>ROUNDUP(1400*(1-$F$3),2)</f>
        <v/>
      </c>
      <c r="Q97" s="1" t="inlineStr">
        <is>
          <t> </t>
        </is>
      </c>
      <c r="R97" s="1" t="inlineStr">
        <is>
          <t>978-5-386-14762-4</t>
        </is>
      </c>
      <c r="S97" s="1" t="inlineStr">
        <is>
          <t>9785386147624</t>
        </is>
      </c>
      <c r="T97" s="9" t="n">
        <v>10</v>
      </c>
      <c r="U97" s="1">
        <f>ROUNDUP(1272.73*(1-$F$3),2)</f>
        <v/>
      </c>
      <c r="V97" s="1" t="n">
        <v>452</v>
      </c>
      <c r="Y97" s="1" t="inlineStr">
        <is>
          <t>Сердце Кая</t>
        </is>
      </c>
      <c r="Z97" s="1" t="inlineStr">
        <is>
          <t>12+</t>
        </is>
      </c>
      <c r="AA97" s="12" t="n">
        <v>44749</v>
      </c>
      <c r="AB97" s="1" t="inlineStr">
        <is>
          <t>Детская литература</t>
        </is>
      </c>
      <c r="AC97" s="1" t="inlineStr">
        <is>
          <t>Художественная литература</t>
        </is>
      </c>
      <c r="AD97" s="1" t="inlineStr">
        <is>
          <t>Фантастика. Фэнтэзи. Ужастик</t>
        </is>
      </c>
      <c r="AE97" s="1" t="inlineStr">
        <is>
          <t>офсетная</t>
        </is>
      </c>
      <c r="AG97" s="1" t="n">
        <v>10466070</v>
      </c>
      <c r="AI97" s="1" t="inlineStr">
        <is>
          <t>4901990000</t>
        </is>
      </c>
    </row>
    <row r="98" customFormat="1" s="1">
      <c r="C98" s="1" t="inlineStr">
        <is>
          <t>11747030</t>
        </is>
      </c>
      <c r="E98" s="1" t="inlineStr">
        <is>
          <t>Сестры Мао (нов.). Маккри Г.</t>
        </is>
      </c>
      <c r="F98" s="13" t="inlineStr">
        <is>
          <t>См.обл.</t>
        </is>
      </c>
      <c r="G98" s="1" t="inlineStr">
        <is>
          <t>Маккри Г.</t>
        </is>
      </c>
      <c r="H98" s="1" t="inlineStr">
        <is>
          <t>60х90/16</t>
        </is>
      </c>
      <c r="I98" s="1" t="n">
        <v>576</v>
      </c>
      <c r="J98" s="1" t="inlineStr">
        <is>
          <t>РИПОЛ Классик</t>
        </is>
      </c>
      <c r="M98" s="1" t="inlineStr">
        <is>
          <t>2025</t>
        </is>
      </c>
      <c r="N98" s="1" t="inlineStr">
        <is>
          <t>П</t>
        </is>
      </c>
      <c r="O98" s="9" t="n">
        <v>8</v>
      </c>
      <c r="P98" s="1">
        <f>ROUNDUP(1160*(1-$F$3),2)</f>
        <v/>
      </c>
      <c r="Q98" s="1" t="inlineStr">
        <is>
          <t> </t>
        </is>
      </c>
      <c r="R98" s="1" t="inlineStr">
        <is>
          <t>978-5-386-15456-1</t>
        </is>
      </c>
      <c r="S98" s="1" t="inlineStr">
        <is>
          <t>9785386154561</t>
        </is>
      </c>
      <c r="T98" s="9" t="n">
        <v>22</v>
      </c>
      <c r="U98" s="1">
        <f>ROUNDUP(950.82*(1-$F$3),2)</f>
        <v/>
      </c>
      <c r="V98" s="1" t="n">
        <v>616</v>
      </c>
      <c r="Y98" s="1" t="inlineStr">
        <is>
          <t>Сестры Мао (нов.)</t>
        </is>
      </c>
      <c r="Z98" s="1" t="inlineStr">
        <is>
          <t>18+</t>
        </is>
      </c>
      <c r="AA98" s="12" t="n">
        <v>45806</v>
      </c>
      <c r="AB98" s="1" t="inlineStr">
        <is>
          <t>Художественная литература</t>
        </is>
      </c>
      <c r="AC98" s="1" t="inlineStr">
        <is>
          <t>Зарубежная литература</t>
        </is>
      </c>
      <c r="AD98" s="1" t="inlineStr">
        <is>
          <t>Европейская литература</t>
        </is>
      </c>
      <c r="AE98" s="1" t="inlineStr">
        <is>
          <t>офсетная</t>
        </is>
      </c>
      <c r="AG98" s="1" t="n">
        <v>11747030</v>
      </c>
      <c r="AI98" s="1" t="inlineStr">
        <is>
          <t>4901990000</t>
        </is>
      </c>
      <c r="AJ98" s="1" t="inlineStr">
        <is>
          <t>Зпв</t>
        </is>
      </c>
    </row>
    <row r="99" customFormat="1" s="1">
      <c r="C99" s="1" t="inlineStr">
        <is>
          <t xml:space="preserve">11610420            </t>
        </is>
      </c>
      <c r="E99" s="1" t="inlineStr">
        <is>
          <t>Сестры Мао. Маккри Г.</t>
        </is>
      </c>
      <c r="F99" s="13" t="inlineStr">
        <is>
          <t>См.обл.</t>
        </is>
      </c>
      <c r="G99" s="1" t="inlineStr">
        <is>
          <t>Маккри Г.</t>
        </is>
      </c>
      <c r="H99" s="1" t="inlineStr">
        <is>
          <t>60х90/16</t>
        </is>
      </c>
      <c r="I99" s="1" t="n">
        <v>576</v>
      </c>
      <c r="J99" s="1" t="inlineStr">
        <is>
          <t>РИПОЛ Классик</t>
        </is>
      </c>
      <c r="M99" s="1" t="inlineStr">
        <is>
          <t>2025</t>
        </is>
      </c>
      <c r="N99" s="1" t="inlineStr">
        <is>
          <t>П</t>
        </is>
      </c>
      <c r="O99" s="9" t="n">
        <v>8</v>
      </c>
      <c r="P99" s="1">
        <f>ROUNDUP(1350*(1-$F$3),2)</f>
        <v/>
      </c>
      <c r="Q99" s="1" t="inlineStr">
        <is>
          <t> </t>
        </is>
      </c>
      <c r="R99" s="1" t="inlineStr">
        <is>
          <t>978-5-386-15154-6</t>
        </is>
      </c>
      <c r="S99" s="1" t="inlineStr">
        <is>
          <t>9785386151546</t>
        </is>
      </c>
      <c r="T99" s="9" t="n">
        <v>22</v>
      </c>
      <c r="U99" s="1">
        <f>ROUNDUP(1106.56*(1-$F$3),2)</f>
        <v/>
      </c>
      <c r="V99" s="1" t="n">
        <v>615</v>
      </c>
      <c r="Y99" s="1" t="inlineStr">
        <is>
          <t>Сестры Мао</t>
        </is>
      </c>
      <c r="Z99" s="1" t="inlineStr">
        <is>
          <t>18+</t>
        </is>
      </c>
      <c r="AA99" s="12" t="n">
        <v>45683</v>
      </c>
      <c r="AB99" s="1" t="inlineStr">
        <is>
          <t>Художественная литература</t>
        </is>
      </c>
      <c r="AC99" s="1" t="inlineStr">
        <is>
          <t>Зарубежная литература</t>
        </is>
      </c>
      <c r="AD99" s="1" t="inlineStr">
        <is>
          <t>Европейская литература</t>
        </is>
      </c>
      <c r="AE99" s="1" t="inlineStr">
        <is>
          <t>офсетная</t>
        </is>
      </c>
      <c r="AG99" s="1" t="n">
        <v>11610420</v>
      </c>
      <c r="AI99" s="1" t="inlineStr">
        <is>
          <t>4901990000</t>
        </is>
      </c>
      <c r="AJ99" s="1" t="inlineStr">
        <is>
          <t>Зпв</t>
        </is>
      </c>
    </row>
    <row r="100" customFormat="1" s="1">
      <c r="C100" s="1" t="inlineStr">
        <is>
          <t xml:space="preserve">11519970            </t>
        </is>
      </c>
      <c r="E100" s="1" t="inlineStr">
        <is>
          <t>Соавторство. Бастиан А.</t>
        </is>
      </c>
      <c r="F100" s="13" t="inlineStr">
        <is>
          <t>См.обл.</t>
        </is>
      </c>
      <c r="G100" s="1" t="inlineStr">
        <is>
          <t>Бастиан А.</t>
        </is>
      </c>
      <c r="H100" s="1" t="inlineStr">
        <is>
          <t>60х90/16</t>
        </is>
      </c>
      <c r="I100" s="1" t="n">
        <v>368</v>
      </c>
      <c r="J100" s="1" t="inlineStr">
        <is>
          <t>РИПОЛ Классик</t>
        </is>
      </c>
      <c r="M100" s="1" t="inlineStr">
        <is>
          <t>2025</t>
        </is>
      </c>
      <c r="N100" s="1" t="inlineStr">
        <is>
          <t>П</t>
        </is>
      </c>
      <c r="O100" s="9" t="n">
        <v>8</v>
      </c>
      <c r="P100" s="1">
        <f>ROUNDUP(1140*(1-$F$3),2)</f>
        <v/>
      </c>
      <c r="Q100" s="1" t="inlineStr">
        <is>
          <t> </t>
        </is>
      </c>
      <c r="R100" s="1" t="inlineStr">
        <is>
          <t>978-5-386-15218-5</t>
        </is>
      </c>
      <c r="S100" s="1" t="inlineStr">
        <is>
          <t>9785386152185</t>
        </is>
      </c>
      <c r="T100" s="9" t="n">
        <v>22</v>
      </c>
      <c r="U100" s="1">
        <f>ROUNDUP(934.43*(1-$F$3),2)</f>
        <v/>
      </c>
      <c r="V100" s="1" t="n">
        <v>417</v>
      </c>
      <c r="Y100" s="1" t="inlineStr">
        <is>
          <t>Соавторство</t>
        </is>
      </c>
      <c r="Z100" s="1" t="inlineStr">
        <is>
          <t>18+</t>
        </is>
      </c>
      <c r="AA100" s="12" t="n">
        <v>45628</v>
      </c>
      <c r="AB100" s="1" t="inlineStr">
        <is>
          <t>Художественная литература</t>
        </is>
      </c>
      <c r="AC100" s="1" t="inlineStr">
        <is>
          <t>Детективы. Боевики. Триллеры</t>
        </is>
      </c>
      <c r="AD100" s="1" t="inlineStr">
        <is>
          <t>Русский детектив</t>
        </is>
      </c>
      <c r="AE100" s="1" t="inlineStr">
        <is>
          <t>офсетная</t>
        </is>
      </c>
      <c r="AG100" s="1" t="n">
        <v>11519970</v>
      </c>
      <c r="AI100" s="1" t="inlineStr">
        <is>
          <t>4901990000</t>
        </is>
      </c>
    </row>
    <row r="101" customFormat="1" s="1">
      <c r="C101" s="1" t="inlineStr">
        <is>
          <t xml:space="preserve">11536070            </t>
        </is>
      </c>
      <c r="E101" s="1" t="inlineStr">
        <is>
          <t>Созвездие Козлотура: повести, притчи. Искандер Ф.А.</t>
        </is>
      </c>
      <c r="F101" s="13" t="inlineStr">
        <is>
          <t>См.обл.</t>
        </is>
      </c>
      <c r="G101" s="1" t="inlineStr">
        <is>
          <t>Искандер Ф.А.</t>
        </is>
      </c>
      <c r="H101" s="1" t="inlineStr">
        <is>
          <t>60х90/16</t>
        </is>
      </c>
      <c r="I101" s="1" t="n">
        <v>400</v>
      </c>
      <c r="J101" s="1" t="inlineStr">
        <is>
          <t>РИПОЛ Классик</t>
        </is>
      </c>
      <c r="M101" s="1" t="inlineStr">
        <is>
          <t>2025</t>
        </is>
      </c>
      <c r="N101" s="1" t="inlineStr">
        <is>
          <t>П</t>
        </is>
      </c>
      <c r="O101" s="9" t="n">
        <v>5</v>
      </c>
      <c r="P101" s="1">
        <f>ROUNDUP(1270*(1-$F$3),2)</f>
        <v/>
      </c>
      <c r="Q101" s="1" t="inlineStr">
        <is>
          <t> </t>
        </is>
      </c>
      <c r="R101" s="1" t="inlineStr">
        <is>
          <t>978-5-386-15318-2</t>
        </is>
      </c>
      <c r="S101" s="1" t="inlineStr">
        <is>
          <t>9785386153182</t>
        </is>
      </c>
      <c r="T101" s="9" t="n">
        <v>10</v>
      </c>
      <c r="U101" s="1">
        <f>ROUNDUP(1154.55*(1-$F$3),2)</f>
        <v/>
      </c>
      <c r="V101" s="1" t="n">
        <v>526</v>
      </c>
      <c r="Y101" s="1" t="inlineStr">
        <is>
          <t>Созвездие Козлотура: повести, притчи</t>
        </is>
      </c>
      <c r="Z101" s="1" t="inlineStr">
        <is>
          <t>16+</t>
        </is>
      </c>
      <c r="AA101" s="12" t="n">
        <v>45607</v>
      </c>
      <c r="AB101" s="1" t="inlineStr">
        <is>
          <t>Художественная литература</t>
        </is>
      </c>
      <c r="AC101" s="1" t="inlineStr">
        <is>
          <t>Русская литература</t>
        </is>
      </c>
      <c r="AD101" s="1" t="inlineStr">
        <is>
          <t>Русская литература советского периода (1917-1991 гг.)</t>
        </is>
      </c>
      <c r="AE101" s="1" t="inlineStr">
        <is>
          <t>офсетная</t>
        </is>
      </c>
      <c r="AG101" s="1" t="n">
        <v>11536070</v>
      </c>
      <c r="AI101" s="1" t="inlineStr">
        <is>
          <t>4901990000</t>
        </is>
      </c>
    </row>
    <row r="102" customFormat="1" s="1">
      <c r="C102" s="1" t="inlineStr">
        <is>
          <t xml:space="preserve">11964980            </t>
        </is>
      </c>
      <c r="E102" s="1" t="inlineStr">
        <is>
          <t>Спецслужбы России. Исторические очерки. Линдер И.Б.</t>
        </is>
      </c>
      <c r="F102" s="13" t="inlineStr">
        <is>
          <t>См.обл.</t>
        </is>
      </c>
      <c r="G102" s="1" t="inlineStr">
        <is>
          <t>Линдер И.Б.</t>
        </is>
      </c>
      <c r="H102" s="1" t="inlineStr">
        <is>
          <t>60х90/16</t>
        </is>
      </c>
      <c r="I102" s="1" t="n">
        <v>768</v>
      </c>
      <c r="J102" s="1" t="inlineStr">
        <is>
          <t>РИПОЛ Классик</t>
        </is>
      </c>
      <c r="M102" s="1" t="inlineStr">
        <is>
          <t>2026</t>
        </is>
      </c>
      <c r="N102" s="1" t="inlineStr">
        <is>
          <t>П</t>
        </is>
      </c>
      <c r="O102" s="9" t="n">
        <v>5</v>
      </c>
      <c r="P102" s="1">
        <f>ROUNDUP(2610*(1-$F$3),2)</f>
        <v/>
      </c>
      <c r="Q102" s="1" t="inlineStr">
        <is>
          <t> </t>
        </is>
      </c>
      <c r="R102" s="1" t="inlineStr">
        <is>
          <t>978-5-386-15519-3</t>
        </is>
      </c>
      <c r="S102" s="1" t="inlineStr">
        <is>
          <t>9785386155193</t>
        </is>
      </c>
      <c r="T102" s="9" t="n">
        <v>10</v>
      </c>
      <c r="U102" s="1">
        <f>ROUNDUP(2372.73*(1-$F$3),2)</f>
        <v/>
      </c>
      <c r="V102" s="1" t="n">
        <v>987</v>
      </c>
      <c r="Y102" s="1" t="inlineStr">
        <is>
          <t>Спецслужбы России. Исторические очерки</t>
        </is>
      </c>
      <c r="Z102" s="1" t="inlineStr">
        <is>
          <t>16+</t>
        </is>
      </c>
      <c r="AA102" s="12" t="n">
        <v>46002</v>
      </c>
      <c r="AB102" s="1" t="inlineStr">
        <is>
          <t>Общественные науки</t>
        </is>
      </c>
      <c r="AC102" s="1" t="inlineStr">
        <is>
          <t>Военное дело. Гражданская защита</t>
        </is>
      </c>
      <c r="AD102" s="1" t="inlineStr">
        <is>
          <t>Спецслужбы</t>
        </is>
      </c>
      <c r="AE102" s="1" t="inlineStr">
        <is>
          <t>офсетная</t>
        </is>
      </c>
      <c r="AG102" s="1" t="n">
        <v>11964980</v>
      </c>
      <c r="AI102" s="1" t="inlineStr">
        <is>
          <t>4901990000</t>
        </is>
      </c>
    </row>
    <row r="103" customFormat="1" s="1">
      <c r="C103" s="1" t="inlineStr">
        <is>
          <t xml:space="preserve">11959200            </t>
        </is>
      </c>
      <c r="E103" s="1" t="inlineStr">
        <is>
          <t>Старьевщик. Рой О.Ю.</t>
        </is>
      </c>
      <c r="F103" s="13" t="inlineStr">
        <is>
          <t>См.обл.</t>
        </is>
      </c>
      <c r="G103" s="1" t="inlineStr">
        <is>
          <t>Рой О.Ю.</t>
        </is>
      </c>
      <c r="H103" s="1" t="inlineStr">
        <is>
          <t>60х90/16</t>
        </is>
      </c>
      <c r="I103" s="1" t="n">
        <v>336</v>
      </c>
      <c r="J103" s="1" t="inlineStr">
        <is>
          <t>РИПОЛ Классик</t>
        </is>
      </c>
      <c r="M103" s="1" t="inlineStr">
        <is>
          <t>2026</t>
        </is>
      </c>
      <c r="N103" s="1" t="inlineStr">
        <is>
          <t>П</t>
        </is>
      </c>
      <c r="O103" s="9" t="n">
        <v>8</v>
      </c>
      <c r="P103" s="1">
        <f>ROUNDUP(1500*(1-$F$3),2)</f>
        <v/>
      </c>
      <c r="Q103" s="1" t="inlineStr">
        <is>
          <t> </t>
        </is>
      </c>
      <c r="R103" s="1" t="inlineStr">
        <is>
          <t>978-5-386-15525-4</t>
        </is>
      </c>
      <c r="S103" s="1" t="inlineStr">
        <is>
          <t>9785386155254</t>
        </is>
      </c>
      <c r="T103" s="9" t="n">
        <v>10</v>
      </c>
      <c r="U103" s="1">
        <f>ROUNDUP(1363.64*(1-$F$3),2)</f>
        <v/>
      </c>
      <c r="V103" s="1" t="n">
        <v>498</v>
      </c>
      <c r="Y103" s="1" t="inlineStr">
        <is>
          <t>Старьевщик</t>
        </is>
      </c>
      <c r="Z103" s="1" t="inlineStr">
        <is>
          <t>16+</t>
        </is>
      </c>
      <c r="AA103" s="12" t="n">
        <v>46002</v>
      </c>
      <c r="AB103" s="1" t="inlineStr">
        <is>
          <t>Художественная литература</t>
        </is>
      </c>
      <c r="AC103" s="1" t="inlineStr">
        <is>
          <t>Русская литература</t>
        </is>
      </c>
      <c r="AD103" s="1" t="inlineStr">
        <is>
          <t>Современная литература</t>
        </is>
      </c>
      <c r="AE103" s="1" t="inlineStr">
        <is>
          <t>офсетная</t>
        </is>
      </c>
      <c r="AG103" s="1" t="n">
        <v>11959200</v>
      </c>
      <c r="AI103" s="1" t="inlineStr">
        <is>
          <t>4901990000</t>
        </is>
      </c>
    </row>
    <row r="104" customFormat="1" s="1">
      <c r="C104" s="1" t="inlineStr">
        <is>
          <t xml:space="preserve">11959190            </t>
        </is>
      </c>
      <c r="E104" s="1" t="inlineStr">
        <is>
          <t>Старьевщица. Рой О.Ю.</t>
        </is>
      </c>
      <c r="F104" s="13" t="inlineStr">
        <is>
          <t>См.обл.</t>
        </is>
      </c>
      <c r="G104" s="1" t="inlineStr">
        <is>
          <t>Рой О.Ю.</t>
        </is>
      </c>
      <c r="H104" s="1" t="inlineStr">
        <is>
          <t>60х90/16</t>
        </is>
      </c>
      <c r="I104" s="1" t="n">
        <v>400</v>
      </c>
      <c r="J104" s="1" t="inlineStr">
        <is>
          <t>РИПОЛ Классик</t>
        </is>
      </c>
      <c r="M104" s="1" t="inlineStr">
        <is>
          <t>2026</t>
        </is>
      </c>
      <c r="N104" s="1" t="inlineStr">
        <is>
          <t>П</t>
        </is>
      </c>
      <c r="O104" s="9" t="n">
        <v>8</v>
      </c>
      <c r="P104" s="1">
        <f>ROUNDUP(1500*(1-$F$3),2)</f>
        <v/>
      </c>
      <c r="Q104" s="1" t="inlineStr">
        <is>
          <t> </t>
        </is>
      </c>
      <c r="R104" s="1" t="inlineStr">
        <is>
          <t>978-5-386-15535-3</t>
        </is>
      </c>
      <c r="S104" s="1" t="inlineStr">
        <is>
          <t>9785386155353</t>
        </is>
      </c>
      <c r="T104" s="9" t="n">
        <v>10</v>
      </c>
      <c r="U104" s="1">
        <f>ROUNDUP(1363.64*(1-$F$3),2)</f>
        <v/>
      </c>
      <c r="V104" s="1" t="n">
        <v>576</v>
      </c>
      <c r="Y104" s="1" t="inlineStr">
        <is>
          <t>Старьевщица</t>
        </is>
      </c>
      <c r="Z104" s="1" t="inlineStr">
        <is>
          <t>16+</t>
        </is>
      </c>
      <c r="AA104" s="12" t="n">
        <v>46002</v>
      </c>
      <c r="AB104" s="1" t="inlineStr">
        <is>
          <t>Художественная литература</t>
        </is>
      </c>
      <c r="AC104" s="1" t="inlineStr">
        <is>
          <t>Русская литература</t>
        </is>
      </c>
      <c r="AD104" s="1" t="inlineStr">
        <is>
          <t>Современная литература</t>
        </is>
      </c>
      <c r="AE104" s="1" t="inlineStr">
        <is>
          <t>офсетная</t>
        </is>
      </c>
      <c r="AG104" s="1" t="n">
        <v>11959190</v>
      </c>
      <c r="AI104" s="1" t="inlineStr">
        <is>
          <t>4901990000</t>
        </is>
      </c>
      <c r="AJ104" s="1" t="inlineStr">
        <is>
          <t>Зпв</t>
        </is>
      </c>
    </row>
    <row r="105" customFormat="1" s="1">
      <c r="C105" s="1" t="inlineStr">
        <is>
          <t xml:space="preserve">10402780            </t>
        </is>
      </c>
      <c r="E105" s="1" t="inlineStr">
        <is>
          <t>Стейксизм. Точка в мифе о вкусах женщин и мужчин. Буаззуни Н.</t>
        </is>
      </c>
      <c r="F105" s="13" t="inlineStr">
        <is>
          <t>См.обл.</t>
        </is>
      </c>
      <c r="G105" s="1" t="inlineStr">
        <is>
          <t>Буаззуни Н.</t>
        </is>
      </c>
      <c r="H105" s="1" t="inlineStr">
        <is>
          <t>84х108/32</t>
        </is>
      </c>
      <c r="I105" s="1" t="n">
        <v>192</v>
      </c>
      <c r="J105" s="1" t="inlineStr">
        <is>
          <t>РИПОЛ Классик</t>
        </is>
      </c>
      <c r="M105" s="1" t="inlineStr">
        <is>
          <t>2022</t>
        </is>
      </c>
      <c r="N105" s="1" t="inlineStr">
        <is>
          <t>О</t>
        </is>
      </c>
      <c r="O105" s="9" t="n">
        <v>24</v>
      </c>
      <c r="P105" s="1">
        <f>ROUNDUP(750*(1-$F$3),2)</f>
        <v/>
      </c>
      <c r="Q105" s="1" t="inlineStr">
        <is>
          <t> </t>
        </is>
      </c>
      <c r="R105" s="1" t="inlineStr">
        <is>
          <t>978-5-386-14648-1</t>
        </is>
      </c>
      <c r="S105" s="1" t="inlineStr">
        <is>
          <t>9785386146481</t>
        </is>
      </c>
      <c r="T105" s="9" t="n">
        <v>10</v>
      </c>
      <c r="U105" s="1">
        <f>ROUNDUP(681.82*(1-$F$3),2)</f>
        <v/>
      </c>
      <c r="V105" s="1" t="n">
        <v>208</v>
      </c>
      <c r="Y105" s="1" t="inlineStr">
        <is>
          <t>Стейксизм. Точка в мифе о вкусах женщин и мужчин</t>
        </is>
      </c>
      <c r="Z105" s="1" t="inlineStr">
        <is>
          <t>18+</t>
        </is>
      </c>
      <c r="AA105" s="12" t="n">
        <v>44652</v>
      </c>
      <c r="AB105" s="1" t="inlineStr">
        <is>
          <t>Общественные науки</t>
        </is>
      </c>
      <c r="AC105" s="1" t="inlineStr">
        <is>
          <t>Обществознание. Социология. Демография.</t>
        </is>
      </c>
      <c r="AD105" s="1" t="inlineStr">
        <is>
          <t>Прикладная социология</t>
        </is>
      </c>
      <c r="AE105" s="1" t="inlineStr">
        <is>
          <t>офсетная</t>
        </is>
      </c>
      <c r="AG105" s="1" t="n">
        <v>10402780</v>
      </c>
      <c r="AI105" s="1" t="inlineStr">
        <is>
          <t>4901990000</t>
        </is>
      </c>
    </row>
    <row r="106" customFormat="1" s="1">
      <c r="C106" s="1" t="inlineStr">
        <is>
          <t xml:space="preserve">11536120            </t>
        </is>
      </c>
      <c r="E106" s="1" t="inlineStr">
        <is>
          <t>Стоянка человека: повести, рассказы. Искандер Ф.А.</t>
        </is>
      </c>
      <c r="F106" s="13" t="inlineStr">
        <is>
          <t>См.обл.</t>
        </is>
      </c>
      <c r="G106" s="1" t="inlineStr">
        <is>
          <t>Искандер Ф.А.</t>
        </is>
      </c>
      <c r="H106" s="1" t="inlineStr">
        <is>
          <t>60х90/16</t>
        </is>
      </c>
      <c r="I106" s="1" t="n">
        <v>400</v>
      </c>
      <c r="J106" s="1" t="inlineStr">
        <is>
          <t>РИПОЛ Классик</t>
        </is>
      </c>
      <c r="M106" s="1" t="inlineStr">
        <is>
          <t>2025</t>
        </is>
      </c>
      <c r="N106" s="1" t="inlineStr">
        <is>
          <t>П</t>
        </is>
      </c>
      <c r="O106" s="9" t="n">
        <v>5</v>
      </c>
      <c r="P106" s="1">
        <f>ROUNDUP(1270*(1-$F$3),2)</f>
        <v/>
      </c>
      <c r="Q106" s="1" t="inlineStr">
        <is>
          <t> </t>
        </is>
      </c>
      <c r="R106" s="1" t="inlineStr">
        <is>
          <t>978-5-386-15319-9</t>
        </is>
      </c>
      <c r="S106" s="1" t="inlineStr">
        <is>
          <t>9785386153199</t>
        </is>
      </c>
      <c r="T106" s="9" t="n">
        <v>10</v>
      </c>
      <c r="U106" s="1">
        <f>ROUNDUP(1154.55*(1-$F$3),2)</f>
        <v/>
      </c>
      <c r="V106" s="1" t="n">
        <v>527</v>
      </c>
      <c r="Y106" s="1" t="inlineStr">
        <is>
          <t>Стоянка человека: повести, рассказы</t>
        </is>
      </c>
      <c r="Z106" s="1" t="inlineStr">
        <is>
          <t>16+</t>
        </is>
      </c>
      <c r="AA106" s="12" t="n">
        <v>45607</v>
      </c>
      <c r="AB106" s="1" t="inlineStr">
        <is>
          <t>Художественная литература</t>
        </is>
      </c>
      <c r="AC106" s="1" t="inlineStr">
        <is>
          <t>Русская литература</t>
        </is>
      </c>
      <c r="AD106" s="1" t="inlineStr">
        <is>
          <t>Русская литература советского периода (1917-1991 гг.)</t>
        </is>
      </c>
      <c r="AE106" s="1" t="inlineStr">
        <is>
          <t>офсетная</t>
        </is>
      </c>
      <c r="AG106" s="1" t="n">
        <v>11536120</v>
      </c>
      <c r="AI106" s="1" t="inlineStr">
        <is>
          <t>4901990000</t>
        </is>
      </c>
    </row>
    <row r="107" customFormat="1" s="1">
      <c r="C107" s="1" t="inlineStr">
        <is>
          <t xml:space="preserve">11504400            </t>
        </is>
      </c>
      <c r="E107" s="1" t="inlineStr">
        <is>
          <t>Суд народов. Международный Нюрнбергский трибунал. Звягинцев А.Г.</t>
        </is>
      </c>
      <c r="F107" s="13" t="inlineStr">
        <is>
          <t>См.обл.</t>
        </is>
      </c>
      <c r="G107" s="1" t="inlineStr">
        <is>
          <t>Звягинцев А.Г.</t>
        </is>
      </c>
      <c r="H107" s="1" t="inlineStr">
        <is>
          <t>60х90/8</t>
        </is>
      </c>
      <c r="I107" s="1" t="n">
        <v>1096</v>
      </c>
      <c r="J107" s="1" t="inlineStr">
        <is>
          <t>РИПОЛ Классик</t>
        </is>
      </c>
      <c r="M107" s="1" t="inlineStr">
        <is>
          <t>2026</t>
        </is>
      </c>
      <c r="N107" s="1" t="inlineStr">
        <is>
          <t>П</t>
        </is>
      </c>
      <c r="O107" s="9" t="n">
        <v>2</v>
      </c>
      <c r="P107" s="1">
        <f>ROUNDUP(6100*(1-$F$3),2)</f>
        <v/>
      </c>
      <c r="Q107" s="1" t="inlineStr">
        <is>
          <t> </t>
        </is>
      </c>
      <c r="R107" s="1" t="inlineStr">
        <is>
          <t>978-5-386-15355-7</t>
        </is>
      </c>
      <c r="S107" s="1" t="inlineStr">
        <is>
          <t>9785386153557</t>
        </is>
      </c>
      <c r="T107" s="9" t="n">
        <v>10</v>
      </c>
      <c r="U107" s="1">
        <f>ROUNDUP(5545.45*(1-$F$3),2)</f>
        <v/>
      </c>
      <c r="V107" s="1" t="n">
        <v>2927</v>
      </c>
      <c r="Y107" s="1" t="inlineStr">
        <is>
          <t>Суд народов. Международный Нюрнбергский трибунал</t>
        </is>
      </c>
      <c r="Z107" s="1" t="inlineStr">
        <is>
          <t>16+</t>
        </is>
      </c>
      <c r="AA107" s="12" t="n">
        <v>45593</v>
      </c>
      <c r="AB107" s="1" t="inlineStr">
        <is>
          <t>Право. Юридические науки</t>
        </is>
      </c>
      <c r="AC107" s="1" t="inlineStr">
        <is>
          <t>Международное право</t>
        </is>
      </c>
      <c r="AD107" s="1" t="inlineStr">
        <is>
          <t>Международное публичное право</t>
        </is>
      </c>
      <c r="AE107" s="1" t="inlineStr">
        <is>
          <t>офсетная</t>
        </is>
      </c>
      <c r="AG107" s="1" t="n">
        <v>11504400</v>
      </c>
      <c r="AI107" s="1" t="inlineStr">
        <is>
          <t>4901990000</t>
        </is>
      </c>
    </row>
    <row r="108" customFormat="1" s="1">
      <c r="C108" s="1" t="inlineStr">
        <is>
          <t xml:space="preserve">11964950            </t>
        </is>
      </c>
      <c r="E108" s="1" t="inlineStr">
        <is>
          <t>Тайные войны спецслужб. Англосаксы и Ватикан. Линдер И.Б.</t>
        </is>
      </c>
      <c r="F108" s="13" t="inlineStr">
        <is>
          <t>См.обл.</t>
        </is>
      </c>
      <c r="G108" s="1" t="inlineStr">
        <is>
          <t>Линдер И.Б.</t>
        </is>
      </c>
      <c r="H108" s="1" t="inlineStr">
        <is>
          <t>60х90/16</t>
        </is>
      </c>
      <c r="I108" s="1" t="n">
        <v>848</v>
      </c>
      <c r="J108" s="1" t="inlineStr">
        <is>
          <t>РИПОЛ Классик</t>
        </is>
      </c>
      <c r="M108" s="1" t="inlineStr">
        <is>
          <t>2026</t>
        </is>
      </c>
      <c r="N108" s="1" t="inlineStr">
        <is>
          <t>П</t>
        </is>
      </c>
      <c r="O108" s="9" t="n">
        <v>5</v>
      </c>
      <c r="P108" s="1">
        <f>ROUNDUP(2610*(1-$F$3),2)</f>
        <v/>
      </c>
      <c r="Q108" s="1" t="inlineStr">
        <is>
          <t> </t>
        </is>
      </c>
      <c r="R108" s="1" t="inlineStr">
        <is>
          <t>978-5-386-15521-6</t>
        </is>
      </c>
      <c r="S108" s="1" t="inlineStr">
        <is>
          <t>9785386155216</t>
        </is>
      </c>
      <c r="T108" s="9" t="n">
        <v>10</v>
      </c>
      <c r="U108" s="1">
        <f>ROUNDUP(2372.73*(1-$F$3),2)</f>
        <v/>
      </c>
      <c r="V108" s="1" t="n">
        <v>1076</v>
      </c>
      <c r="Y108" s="1" t="inlineStr">
        <is>
          <t>Тайные войны спецслужб. Англосаксы и Ватикан</t>
        </is>
      </c>
      <c r="Z108" s="1" t="inlineStr">
        <is>
          <t>16+</t>
        </is>
      </c>
      <c r="AA108" s="12" t="n">
        <v>46002</v>
      </c>
      <c r="AB108" s="1" t="inlineStr">
        <is>
          <t>Общественные науки</t>
        </is>
      </c>
      <c r="AC108" s="1" t="inlineStr">
        <is>
          <t>Военное дело. Гражданская защита</t>
        </is>
      </c>
      <c r="AD108" s="1" t="inlineStr">
        <is>
          <t>Спецслужбы</t>
        </is>
      </c>
      <c r="AE108" s="1" t="inlineStr">
        <is>
          <t>офсетная</t>
        </is>
      </c>
      <c r="AG108" s="1" t="n">
        <v>11964950</v>
      </c>
      <c r="AI108" s="1" t="inlineStr">
        <is>
          <t>4901990000</t>
        </is>
      </c>
    </row>
    <row r="109" customFormat="1" s="1">
      <c r="C109" s="1" t="inlineStr">
        <is>
          <t xml:space="preserve">11708590            </t>
        </is>
      </c>
      <c r="E109" s="1" t="inlineStr">
        <is>
          <t>Тропа над бабочкой. Касаверде А.</t>
        </is>
      </c>
      <c r="F109" s="13" t="inlineStr">
        <is>
          <t>См.обл.</t>
        </is>
      </c>
      <c r="G109" s="1" t="inlineStr">
        <is>
          <t>Касаверде А.</t>
        </is>
      </c>
      <c r="H109" s="1" t="inlineStr">
        <is>
          <t>60х90/16</t>
        </is>
      </c>
      <c r="I109" s="1" t="n">
        <v>272</v>
      </c>
      <c r="J109" s="1" t="inlineStr">
        <is>
          <t>РИПОЛ Классик</t>
        </is>
      </c>
      <c r="M109" s="1" t="inlineStr">
        <is>
          <t>2025</t>
        </is>
      </c>
      <c r="N109" s="1" t="inlineStr">
        <is>
          <t>П</t>
        </is>
      </c>
      <c r="O109" s="9" t="n">
        <v>7</v>
      </c>
      <c r="P109" s="1">
        <f>ROUNDUP(1000*(1-$F$3),2)</f>
        <v/>
      </c>
      <c r="Q109" s="1" t="inlineStr">
        <is>
          <t> </t>
        </is>
      </c>
      <c r="R109" s="1" t="inlineStr">
        <is>
          <t>978-5-386-15375-5</t>
        </is>
      </c>
      <c r="S109" s="1" t="inlineStr">
        <is>
          <t>9785386153755</t>
        </is>
      </c>
      <c r="T109" s="9" t="n">
        <v>22</v>
      </c>
      <c r="U109" s="1">
        <f>ROUNDUP(819.67*(1-$F$3),2)</f>
        <v/>
      </c>
      <c r="V109" s="1" t="n">
        <v>331</v>
      </c>
      <c r="Y109" s="1" t="inlineStr">
        <is>
          <t>Тропа над бабочкой</t>
        </is>
      </c>
      <c r="Z109" s="1" t="inlineStr">
        <is>
          <t>18+</t>
        </is>
      </c>
      <c r="AA109" s="12" t="n">
        <v>45756</v>
      </c>
      <c r="AB109" s="1" t="inlineStr">
        <is>
          <t>Художественная литература</t>
        </is>
      </c>
      <c r="AC109" s="1" t="inlineStr">
        <is>
          <t>Русская литература</t>
        </is>
      </c>
      <c r="AD109" s="1" t="inlineStr">
        <is>
          <t>Современная литература</t>
        </is>
      </c>
      <c r="AE109" s="1" t="inlineStr">
        <is>
          <t>офсетная</t>
        </is>
      </c>
      <c r="AG109" s="1" t="n">
        <v>11708590</v>
      </c>
      <c r="AI109" s="1" t="inlineStr">
        <is>
          <t>4901990000</t>
        </is>
      </c>
      <c r="AJ109" s="1" t="inlineStr">
        <is>
          <t>Зпв</t>
        </is>
      </c>
    </row>
    <row r="110" customFormat="1" s="1">
      <c r="C110" s="1" t="inlineStr">
        <is>
          <t xml:space="preserve">11513340            </t>
        </is>
      </c>
      <c r="E110" s="1" t="inlineStr">
        <is>
          <t>Туарег. Кн. 1-2 в одном томе. Полная версия. Васкес-Фигероа А.</t>
        </is>
      </c>
      <c r="F110" s="13" t="inlineStr">
        <is>
          <t>См.обл.</t>
        </is>
      </c>
      <c r="G110" s="1" t="inlineStr">
        <is>
          <t>Васкес-Фигероа А.</t>
        </is>
      </c>
      <c r="H110" s="1" t="inlineStr">
        <is>
          <t>60х90/16</t>
        </is>
      </c>
      <c r="I110" s="1" t="n">
        <v>528</v>
      </c>
      <c r="J110" s="1" t="inlineStr">
        <is>
          <t>РИПОЛ Классик</t>
        </is>
      </c>
      <c r="M110" s="1" t="inlineStr">
        <is>
          <t>2025</t>
        </is>
      </c>
      <c r="N110" s="1" t="inlineStr">
        <is>
          <t>П</t>
        </is>
      </c>
      <c r="O110" s="9" t="n">
        <v>6</v>
      </c>
      <c r="P110" s="1">
        <f>ROUNDUP(1440*(1-$F$3),2)</f>
        <v/>
      </c>
      <c r="Q110" s="1" t="inlineStr">
        <is>
          <t> </t>
        </is>
      </c>
      <c r="R110" s="1" t="inlineStr">
        <is>
          <t>978-5-386-15324-3</t>
        </is>
      </c>
      <c r="S110" s="1" t="inlineStr">
        <is>
          <t>9785386153243</t>
        </is>
      </c>
      <c r="T110" s="9" t="n">
        <v>22</v>
      </c>
      <c r="U110" s="1">
        <f>ROUNDUP(1180.33*(1-$F$3),2)</f>
        <v/>
      </c>
      <c r="V110" s="1" t="n">
        <v>586</v>
      </c>
      <c r="Y110" s="1" t="inlineStr">
        <is>
          <t>Туарег. Кн. 1-2 в одном томе. Полная версия</t>
        </is>
      </c>
      <c r="Z110" s="1" t="inlineStr">
        <is>
          <t>18+</t>
        </is>
      </c>
      <c r="AA110" s="12" t="n">
        <v>45625</v>
      </c>
      <c r="AB110" s="1" t="inlineStr">
        <is>
          <t>Художественная литература</t>
        </is>
      </c>
      <c r="AC110" s="1" t="inlineStr">
        <is>
          <t>Зарубежная литература</t>
        </is>
      </c>
      <c r="AD110" s="1" t="inlineStr">
        <is>
          <t>Европейская литература</t>
        </is>
      </c>
      <c r="AE110" s="1" t="inlineStr">
        <is>
          <t>офсетная</t>
        </is>
      </c>
      <c r="AG110" s="1" t="n">
        <v>11513340</v>
      </c>
      <c r="AI110" s="1" t="inlineStr">
        <is>
          <t>4901990000</t>
        </is>
      </c>
    </row>
    <row r="111" customFormat="1" s="1">
      <c r="C111" s="1" t="inlineStr">
        <is>
          <t>11664280</t>
        </is>
      </c>
      <c r="E111" s="1" t="inlineStr">
        <is>
          <t>Туннель; Из смерти в жизнь; Обмен душами ( комплект из 3-х книг). Стэплдон О., Келлерман Б., Пейн Б</t>
        </is>
      </c>
      <c r="F111" s="13" t="inlineStr">
        <is>
          <t>См.обл.</t>
        </is>
      </c>
      <c r="G111" s="1" t="inlineStr">
        <is>
          <t>Стэплдон О., Келлерман Б., Пейн Б</t>
        </is>
      </c>
      <c r="H111" s="1" t="inlineStr">
        <is>
          <t>84х108/32</t>
        </is>
      </c>
      <c r="I111" s="1" t="n">
        <v>946</v>
      </c>
      <c r="J111" s="1" t="inlineStr">
        <is>
          <t>РИПОЛ Классик</t>
        </is>
      </c>
      <c r="M111" s="1" t="inlineStr">
        <is>
          <t>2023</t>
        </is>
      </c>
      <c r="N111" s="1" t="inlineStr">
        <is>
          <t>П</t>
        </is>
      </c>
      <c r="O111" s="9" t="n"/>
      <c r="P111" s="1">
        <f>ROUNDUP(3090*(1-$F$3),2)</f>
        <v/>
      </c>
      <c r="Q111" s="1" t="inlineStr">
        <is>
          <t> </t>
        </is>
      </c>
      <c r="R111" s="1" t="inlineStr">
        <is>
          <t>978-5-521-84489-0</t>
        </is>
      </c>
      <c r="S111" s="1" t="inlineStr">
        <is>
          <t>9785521844890</t>
        </is>
      </c>
      <c r="T111" s="9" t="n">
        <v>10</v>
      </c>
      <c r="U111" s="1">
        <f>ROUNDUP(2809.09*(1-$F$3),2)</f>
        <v/>
      </c>
      <c r="V111" s="1" t="n">
        <v>1136</v>
      </c>
      <c r="Y111" s="1" t="inlineStr">
        <is>
          <t>Туннель; Из смерти в жизнь; Обмен душами ( комплект из 3-х книг)</t>
        </is>
      </c>
      <c r="Z111" s="1" t="inlineStr">
        <is>
          <t>16+</t>
        </is>
      </c>
      <c r="AA111" s="12" t="n">
        <v>45706</v>
      </c>
      <c r="AB111" s="1" t="inlineStr">
        <is>
          <t>Художественная литература</t>
        </is>
      </c>
      <c r="AC111" s="1" t="inlineStr">
        <is>
          <t>Фантастика. Мистика. Ужасы</t>
        </is>
      </c>
      <c r="AD111" s="1" t="inlineStr">
        <is>
          <t>Зарубежная фантастика</t>
        </is>
      </c>
      <c r="AE111" s="1" t="inlineStr">
        <is>
          <t>офсетная</t>
        </is>
      </c>
      <c r="AG111" s="1" t="n">
        <v>11664280</v>
      </c>
      <c r="AI111" s="1" t="inlineStr">
        <is>
          <t>4901990000</t>
        </is>
      </c>
    </row>
    <row r="112" customFormat="1" s="1">
      <c r="C112" s="1" t="inlineStr">
        <is>
          <t xml:space="preserve">12079380            </t>
        </is>
      </c>
      <c r="E112" s="1" t="inlineStr">
        <is>
          <t>Утесы. Салливан Дж.К</t>
        </is>
      </c>
      <c r="F112" s="13" t="inlineStr">
        <is>
          <t>См.обл.</t>
        </is>
      </c>
      <c r="G112" s="1" t="inlineStr">
        <is>
          <t>Салливан Дж.К</t>
        </is>
      </c>
      <c r="H112" s="1" t="inlineStr">
        <is>
          <t>60х90/16</t>
        </is>
      </c>
      <c r="I112" s="1" t="n">
        <v>528</v>
      </c>
      <c r="J112" s="1" t="inlineStr">
        <is>
          <t>РИПОЛ Классик</t>
        </is>
      </c>
      <c r="K112" s="1" t="inlineStr">
        <is>
          <t>Строки</t>
        </is>
      </c>
      <c r="M112" s="1" t="inlineStr">
        <is>
          <t>2026</t>
        </is>
      </c>
      <c r="N112" s="1" t="inlineStr">
        <is>
          <t>О</t>
        </is>
      </c>
      <c r="O112" s="9" t="n">
        <v>10</v>
      </c>
      <c r="P112" s="1">
        <f>ROUNDUP(1350*(1-$F$3),2)</f>
        <v/>
      </c>
      <c r="Q112" s="1" t="inlineStr">
        <is>
          <t> </t>
        </is>
      </c>
      <c r="R112" s="1" t="inlineStr">
        <is>
          <t>978-5-386-15553-7</t>
        </is>
      </c>
      <c r="S112" s="1" t="inlineStr">
        <is>
          <t>9785386155537</t>
        </is>
      </c>
      <c r="T112" s="9" t="n">
        <v>22</v>
      </c>
      <c r="U112" s="1">
        <f>ROUNDUP(1106.56*(1-$F$3),2)</f>
        <v/>
      </c>
      <c r="V112" s="1" t="n">
        <v>521</v>
      </c>
      <c r="Y112" s="1" t="inlineStr">
        <is>
          <t>Утесы</t>
        </is>
      </c>
      <c r="Z112" s="1" t="inlineStr">
        <is>
          <t>18+</t>
        </is>
      </c>
      <c r="AA112" s="12" t="n">
        <v>46153</v>
      </c>
      <c r="AB112" s="1" t="inlineStr">
        <is>
          <t>Художественная литература</t>
        </is>
      </c>
      <c r="AC112" s="1" t="inlineStr">
        <is>
          <t>Зарубежная литература</t>
        </is>
      </c>
      <c r="AD112" s="1" t="inlineStr">
        <is>
          <t>Литература Америки и Австралии</t>
        </is>
      </c>
      <c r="AE112" s="1" t="inlineStr">
        <is>
          <t>офсетная</t>
        </is>
      </c>
      <c r="AG112" s="1" t="n">
        <v>12079380</v>
      </c>
      <c r="AI112" s="1" t="inlineStr">
        <is>
          <t>4901990000</t>
        </is>
      </c>
    </row>
    <row r="113" customFormat="1" s="1">
      <c r="C113" s="1" t="inlineStr">
        <is>
          <t xml:space="preserve">12225330            </t>
        </is>
      </c>
      <c r="E113" s="1" t="inlineStr">
        <is>
          <t>Феофания, рисующая смерть. Алеников В.М.</t>
        </is>
      </c>
      <c r="F113" s="13" t="inlineStr">
        <is>
          <t>См.обл.</t>
        </is>
      </c>
      <c r="G113" s="1" t="inlineStr">
        <is>
          <t>Алеников В.М.</t>
        </is>
      </c>
      <c r="H113" s="1" t="inlineStr">
        <is>
          <t>84х108/32</t>
        </is>
      </c>
      <c r="I113" s="1" t="n">
        <v>128</v>
      </c>
      <c r="J113" s="1" t="inlineStr">
        <is>
          <t>РИПОЛ Классик</t>
        </is>
      </c>
      <c r="M113" s="1" t="inlineStr">
        <is>
          <t>2026</t>
        </is>
      </c>
      <c r="N113" s="1" t="inlineStr">
        <is>
          <t>П</t>
        </is>
      </c>
      <c r="O113" s="9" t="n">
        <v>20</v>
      </c>
      <c r="P113" s="1">
        <f>ROUNDUP(650*(1-$F$3),2)</f>
        <v/>
      </c>
      <c r="Q113" s="1" t="inlineStr">
        <is>
          <t> </t>
        </is>
      </c>
      <c r="R113" s="1" t="inlineStr">
        <is>
          <t>978-5-386-15647-3</t>
        </is>
      </c>
      <c r="S113" s="1" t="inlineStr">
        <is>
          <t>9785386156473</t>
        </is>
      </c>
      <c r="T113" s="9" t="n">
        <v>22</v>
      </c>
      <c r="U113" s="1">
        <f>ROUNDUP(532.79*(1-$F$3),2)</f>
        <v/>
      </c>
      <c r="V113" s="1" t="n">
        <v>229</v>
      </c>
      <c r="Y113" s="1" t="inlineStr">
        <is>
          <t>Феофания, рисующая смерть</t>
        </is>
      </c>
      <c r="Z113" s="1" t="inlineStr">
        <is>
          <t>18+</t>
        </is>
      </c>
      <c r="AA113" s="12" t="n">
        <v>46237</v>
      </c>
      <c r="AB113" s="1" t="inlineStr">
        <is>
          <t>Художественная литература</t>
        </is>
      </c>
      <c r="AC113" s="1" t="inlineStr">
        <is>
          <t>Фантастика. Мистика. Ужасы</t>
        </is>
      </c>
      <c r="AD113" s="1" t="inlineStr">
        <is>
          <t>Фэнтези</t>
        </is>
      </c>
      <c r="AE113" s="1" t="inlineStr">
        <is>
          <t>офсетная</t>
        </is>
      </c>
      <c r="AG113" s="1" t="n">
        <v>12225330</v>
      </c>
      <c r="AI113" s="1" t="inlineStr">
        <is>
          <t>4901990000</t>
        </is>
      </c>
    </row>
    <row r="114" customFormat="1" s="1">
      <c r="C114" s="1" t="inlineStr">
        <is>
          <t xml:space="preserve">12228750            </t>
        </is>
      </c>
      <c r="E114" s="1" t="inlineStr">
        <is>
          <t>Форум. Пионеров В.</t>
        </is>
      </c>
      <c r="F114" s="13" t="inlineStr">
        <is>
          <t>См.обл.</t>
        </is>
      </c>
      <c r="G114" s="1" t="inlineStr">
        <is>
          <t>Пионеров В.</t>
        </is>
      </c>
      <c r="H114" s="1" t="inlineStr">
        <is>
          <t>60х90/16</t>
        </is>
      </c>
      <c r="I114" s="1" t="n">
        <v>416</v>
      </c>
      <c r="J114" s="1" t="inlineStr">
        <is>
          <t>РИПОЛ Классик</t>
        </is>
      </c>
      <c r="M114" s="1" t="inlineStr">
        <is>
          <t>2026</t>
        </is>
      </c>
      <c r="N114" s="1" t="inlineStr">
        <is>
          <t>П</t>
        </is>
      </c>
      <c r="O114" s="9" t="n">
        <v>6</v>
      </c>
      <c r="P114" s="1">
        <f>ROUNDUP(1100*(1-$F$3),2)</f>
        <v/>
      </c>
      <c r="Q114" s="1" t="inlineStr">
        <is>
          <t> </t>
        </is>
      </c>
      <c r="R114" s="1" t="inlineStr">
        <is>
          <t>978-5-386-15646-6</t>
        </is>
      </c>
      <c r="S114" s="1" t="inlineStr">
        <is>
          <t>9785386156466</t>
        </is>
      </c>
      <c r="T114" s="9" t="n">
        <v>10</v>
      </c>
      <c r="U114" s="1">
        <f>ROUNDUP(1000*(1-$F$3),2)</f>
        <v/>
      </c>
      <c r="V114" s="1" t="n">
        <v>439</v>
      </c>
      <c r="Y114" s="1" t="inlineStr">
        <is>
          <t>Форум</t>
        </is>
      </c>
      <c r="Z114" s="1" t="inlineStr">
        <is>
          <t>16+</t>
        </is>
      </c>
      <c r="AA114" s="12" t="n">
        <v>46250</v>
      </c>
      <c r="AB114" s="1" t="inlineStr">
        <is>
          <t>Художественная литература</t>
        </is>
      </c>
      <c r="AC114" s="1" t="inlineStr">
        <is>
          <t>Русская литература</t>
        </is>
      </c>
      <c r="AD114" s="1" t="inlineStr">
        <is>
          <t>Современная литература</t>
        </is>
      </c>
      <c r="AE114" s="1" t="inlineStr">
        <is>
          <t>офсетная</t>
        </is>
      </c>
      <c r="AG114" s="1" t="n">
        <v>12228750</v>
      </c>
      <c r="AI114" s="1" t="inlineStr">
        <is>
          <t>4901990000</t>
        </is>
      </c>
    </row>
    <row r="115" customFormat="1" s="1">
      <c r="C115" s="1" t="inlineStr">
        <is>
          <t>11664250</t>
        </is>
      </c>
      <c r="E115" s="1" t="inlineStr">
        <is>
          <t>Франкенштейн, или Современный Прометей; Обмен душами; Железный доктор (комплект из 3-х книг). Шелли М., Эльснер А.О., Пейн Б.</t>
        </is>
      </c>
      <c r="F115" s="13" t="inlineStr">
        <is>
          <t>См.обл.</t>
        </is>
      </c>
      <c r="G115" s="1" t="inlineStr">
        <is>
          <t>Шелли М., Эльснер А.О., Пейн Б.</t>
        </is>
      </c>
      <c r="H115" s="1" t="inlineStr">
        <is>
          <t>84х108/32</t>
        </is>
      </c>
      <c r="I115" s="1" t="n">
        <v>1066</v>
      </c>
      <c r="J115" s="1" t="inlineStr">
        <is>
          <t>РИПОЛ Классик</t>
        </is>
      </c>
      <c r="M115" s="1" t="inlineStr">
        <is>
          <t>2025</t>
        </is>
      </c>
      <c r="N115" s="1" t="inlineStr">
        <is>
          <t>П</t>
        </is>
      </c>
      <c r="O115" s="9" t="n"/>
      <c r="P115" s="1">
        <f>ROUNDUP(3100*(1-$F$3),2)</f>
        <v/>
      </c>
      <c r="Q115" s="1" t="inlineStr">
        <is>
          <t> </t>
        </is>
      </c>
      <c r="R115" s="1" t="inlineStr">
        <is>
          <t>978-5-521-84488-3</t>
        </is>
      </c>
      <c r="S115" s="1" t="inlineStr">
        <is>
          <t>9785521844883</t>
        </is>
      </c>
      <c r="T115" s="9" t="n">
        <v>10</v>
      </c>
      <c r="U115" s="1">
        <f>ROUNDUP(2818.18*(1-$F$3),2)</f>
        <v/>
      </c>
      <c r="V115" s="1" t="n">
        <v>1194</v>
      </c>
      <c r="Y115" s="1" t="inlineStr">
        <is>
          <t>Франкенштейн, или Современный Прометей; Обмен душами; Железный доктор (комплект из 3-х книг)</t>
        </is>
      </c>
      <c r="Z115" s="1" t="inlineStr">
        <is>
          <t>16+</t>
        </is>
      </c>
      <c r="AA115" s="12" t="n">
        <v>45706</v>
      </c>
      <c r="AB115" s="1" t="inlineStr">
        <is>
          <t>Художественная литература</t>
        </is>
      </c>
      <c r="AC115" s="1" t="inlineStr">
        <is>
          <t>Фантастика. Мистика. Ужасы</t>
        </is>
      </c>
      <c r="AD115" s="1" t="inlineStr">
        <is>
          <t>Мистика. Ужасы</t>
        </is>
      </c>
      <c r="AE115" s="1" t="inlineStr">
        <is>
          <t>офсетная</t>
        </is>
      </c>
      <c r="AG115" s="1" t="n">
        <v>11664250</v>
      </c>
      <c r="AI115" s="1" t="inlineStr">
        <is>
          <t>4901990000</t>
        </is>
      </c>
      <c r="AJ115" s="1" t="inlineStr">
        <is>
          <t>Зпв</t>
        </is>
      </c>
    </row>
    <row r="116" customFormat="1" s="1">
      <c r="C116" s="1" t="inlineStr">
        <is>
          <t xml:space="preserve">10917750            </t>
        </is>
      </c>
      <c r="E116" s="1" t="inlineStr">
        <is>
          <t>Французский орден особиста. Легенда отечественной контрразведки. Линдер И.Б., Лузан Н.Н.</t>
        </is>
      </c>
      <c r="F116" s="13" t="inlineStr">
        <is>
          <t>См.обл.</t>
        </is>
      </c>
      <c r="G116" s="1" t="inlineStr">
        <is>
          <t>Линдер И.Б., Лузан Н.Н.</t>
        </is>
      </c>
      <c r="H116" s="1" t="inlineStr">
        <is>
          <t>60х90/16</t>
        </is>
      </c>
      <c r="I116" s="1" t="n">
        <v>480</v>
      </c>
      <c r="J116" s="1" t="inlineStr">
        <is>
          <t>РИПОЛ Классик</t>
        </is>
      </c>
      <c r="M116" s="1" t="inlineStr">
        <is>
          <t>2023</t>
        </is>
      </c>
      <c r="N116" s="1" t="inlineStr">
        <is>
          <t>П</t>
        </is>
      </c>
      <c r="O116" s="9" t="n">
        <v>8</v>
      </c>
      <c r="P116" s="1">
        <f>ROUNDUP(1760*(1-$F$3),2)</f>
        <v/>
      </c>
      <c r="Q116" s="1" t="inlineStr">
        <is>
          <t> </t>
        </is>
      </c>
      <c r="R116" s="1" t="inlineStr">
        <is>
          <t>978-5-386-15032-7</t>
        </is>
      </c>
      <c r="S116" s="1" t="inlineStr">
        <is>
          <t>9785386150327</t>
        </is>
      </c>
      <c r="T116" s="9" t="n">
        <v>10</v>
      </c>
      <c r="U116" s="1">
        <f>ROUNDUP(1600*(1-$F$3),2)</f>
        <v/>
      </c>
      <c r="V116" s="1" t="n">
        <v>592</v>
      </c>
      <c r="Y116" s="1" t="inlineStr">
        <is>
          <t>Французский орден особиста. Легенда отечественной контрразведки</t>
        </is>
      </c>
      <c r="Z116" s="1" t="inlineStr">
        <is>
          <t>16+</t>
        </is>
      </c>
      <c r="AA116" s="12" t="n">
        <v>45056</v>
      </c>
      <c r="AB116" s="1" t="inlineStr">
        <is>
          <t>Художественная литература</t>
        </is>
      </c>
      <c r="AC116" s="1" t="inlineStr">
        <is>
          <t>Историческая проза</t>
        </is>
      </c>
      <c r="AD116" s="1" t="inlineStr">
        <is>
          <t>Русская историческая проза</t>
        </is>
      </c>
      <c r="AE116" s="1" t="inlineStr">
        <is>
          <t>офсетная</t>
        </is>
      </c>
      <c r="AG116" s="1" t="n">
        <v>10917750</v>
      </c>
      <c r="AI116" s="1" t="inlineStr">
        <is>
          <t>4901990000</t>
        </is>
      </c>
    </row>
    <row r="117" customFormat="1" s="1">
      <c r="C117" s="1" t="inlineStr">
        <is>
          <t xml:space="preserve">11195960            </t>
        </is>
      </c>
      <c r="E117" s="1" t="inlineStr">
        <is>
          <t>Фреймворк управления и анализа проектов DaShe. Щеглов С.И., Давыденков П.И.</t>
        </is>
      </c>
      <c r="F117" s="13" t="inlineStr">
        <is>
          <t>См.обл.</t>
        </is>
      </c>
      <c r="G117" s="1" t="inlineStr">
        <is>
          <t>Щеглов С.И., Давыденков П.И.</t>
        </is>
      </c>
      <c r="H117" s="1" t="inlineStr">
        <is>
          <t>60х90/16</t>
        </is>
      </c>
      <c r="I117" s="1" t="n">
        <v>272</v>
      </c>
      <c r="J117" s="1" t="inlineStr">
        <is>
          <t>РИПОЛ Классик</t>
        </is>
      </c>
      <c r="M117" s="1" t="inlineStr">
        <is>
          <t>2024</t>
        </is>
      </c>
      <c r="N117" s="1" t="inlineStr">
        <is>
          <t>П</t>
        </is>
      </c>
      <c r="O117" s="9" t="n">
        <v>12</v>
      </c>
      <c r="P117" s="1">
        <f>ROUNDUP(890*(1-$F$3),2)</f>
        <v/>
      </c>
      <c r="Q117" s="1" t="inlineStr">
        <is>
          <t> </t>
        </is>
      </c>
      <c r="R117" s="1" t="inlineStr">
        <is>
          <t>978-5-386-14997-0</t>
        </is>
      </c>
      <c r="S117" s="1" t="inlineStr">
        <is>
          <t>9785386149970</t>
        </is>
      </c>
      <c r="T117" s="9" t="n">
        <v>10</v>
      </c>
      <c r="U117" s="1">
        <f>ROUNDUP(809.09*(1-$F$3),2)</f>
        <v/>
      </c>
      <c r="V117" s="1" t="n">
        <v>318</v>
      </c>
      <c r="Y117" s="1" t="inlineStr">
        <is>
          <t>Фреймворк управления и анализа проектов DaShe</t>
        </is>
      </c>
      <c r="Z117" s="1" t="inlineStr">
        <is>
          <t>16+</t>
        </is>
      </c>
      <c r="AA117" s="12" t="n">
        <v>45301</v>
      </c>
      <c r="AB117" s="1" t="inlineStr">
        <is>
          <t>Экономика. Экономические науки</t>
        </is>
      </c>
      <c r="AC117" s="1" t="inlineStr">
        <is>
          <t>Менеджмент</t>
        </is>
      </c>
      <c r="AD117" s="1" t="inlineStr">
        <is>
          <t>Управление проектами</t>
        </is>
      </c>
      <c r="AE117" s="1" t="inlineStr">
        <is>
          <t>офсетная</t>
        </is>
      </c>
      <c r="AG117" s="1" t="n">
        <v>11195960</v>
      </c>
      <c r="AI117" s="1" t="inlineStr">
        <is>
          <t>4901990000</t>
        </is>
      </c>
    </row>
    <row r="118" customFormat="1" s="1">
      <c r="C118" s="1" t="inlineStr">
        <is>
          <t xml:space="preserve">12220980            </t>
        </is>
      </c>
      <c r="E118" s="1" t="inlineStr">
        <is>
          <t>Хватит хотеть! Как укротить дофамин и вернуть вкус к жизни. Берг А.</t>
        </is>
      </c>
      <c r="F118" s="13" t="inlineStr">
        <is>
          <t>См.обл.</t>
        </is>
      </c>
      <c r="G118" s="1" t="inlineStr">
        <is>
          <t>Берг А.</t>
        </is>
      </c>
      <c r="H118" s="1" t="inlineStr">
        <is>
          <t>84х108/32</t>
        </is>
      </c>
      <c r="I118" s="1" t="n">
        <v>224</v>
      </c>
      <c r="J118" s="1" t="inlineStr">
        <is>
          <t>РИПОЛ Классик</t>
        </is>
      </c>
      <c r="M118" s="1" t="inlineStr">
        <is>
          <t>2026</t>
        </is>
      </c>
      <c r="N118" s="1" t="inlineStr">
        <is>
          <t>П</t>
        </is>
      </c>
      <c r="O118" s="9" t="n">
        <v>14</v>
      </c>
      <c r="P118" s="1">
        <f>ROUNDUP(800*(1-$F$3),2)</f>
        <v/>
      </c>
      <c r="Q118" s="1" t="inlineStr">
        <is>
          <t> </t>
        </is>
      </c>
      <c r="R118" s="1" t="inlineStr">
        <is>
          <t>978-5-386-15657-2</t>
        </is>
      </c>
      <c r="S118" s="1" t="inlineStr">
        <is>
          <t>9785386156572</t>
        </is>
      </c>
      <c r="T118" s="9" t="n">
        <v>10</v>
      </c>
      <c r="U118" s="1">
        <f>ROUNDUP(727.27*(1-$F$3),2)</f>
        <v/>
      </c>
      <c r="V118" s="1" t="n">
        <v>321</v>
      </c>
      <c r="Y118" s="1" t="inlineStr">
        <is>
          <t>Хватит хотеть! Как укротить дофамин и вернуть вкус к жизни</t>
        </is>
      </c>
      <c r="Z118" s="1" t="inlineStr">
        <is>
          <t>16+</t>
        </is>
      </c>
      <c r="AA118" s="12" t="n">
        <v>46230</v>
      </c>
      <c r="AB118" s="1" t="inlineStr">
        <is>
          <t>Гуманитарные науки</t>
        </is>
      </c>
      <c r="AC118" s="1" t="inlineStr">
        <is>
          <t>Психология</t>
        </is>
      </c>
      <c r="AD118" s="1" t="inlineStr">
        <is>
          <t>Психология личности. Характер. Личностный рост</t>
        </is>
      </c>
      <c r="AE118" s="1" t="inlineStr">
        <is>
          <t>офсетная</t>
        </is>
      </c>
      <c r="AG118" s="1" t="n">
        <v>12220980</v>
      </c>
      <c r="AI118" s="1" t="inlineStr">
        <is>
          <t>4901990000</t>
        </is>
      </c>
    </row>
    <row r="119" customFormat="1" s="1">
      <c r="C119" s="1" t="inlineStr">
        <is>
          <t xml:space="preserve">12039310            </t>
        </is>
      </c>
      <c r="E119" s="1" t="inlineStr">
        <is>
          <t>Хроники пепельной весны.  Кн. 1: Магма ведьм. Старобинец А.А.</t>
        </is>
      </c>
      <c r="F119" s="13" t="inlineStr">
        <is>
          <t>См.обл.</t>
        </is>
      </c>
      <c r="G119" s="1" t="inlineStr">
        <is>
          <t>Старобинец А.А.</t>
        </is>
      </c>
      <c r="H119" s="1" t="inlineStr">
        <is>
          <t>60х90/16</t>
        </is>
      </c>
      <c r="I119" s="1" t="n">
        <v>288</v>
      </c>
      <c r="J119" s="1" t="inlineStr">
        <is>
          <t>РИПОЛ Классик</t>
        </is>
      </c>
      <c r="M119" s="1" t="inlineStr">
        <is>
          <t>2026</t>
        </is>
      </c>
      <c r="N119" s="1" t="inlineStr">
        <is>
          <t>П</t>
        </is>
      </c>
      <c r="O119" s="9" t="n">
        <v>12</v>
      </c>
      <c r="P119" s="1">
        <f>ROUNDUP(990*(1-$F$3),2)</f>
        <v/>
      </c>
      <c r="Q119" s="1" t="inlineStr">
        <is>
          <t> </t>
        </is>
      </c>
      <c r="R119" s="1" t="inlineStr">
        <is>
          <t>978-5-386-15462-2</t>
        </is>
      </c>
      <c r="S119" s="1" t="inlineStr">
        <is>
          <t>9785386154622</t>
        </is>
      </c>
      <c r="T119" s="9" t="n">
        <v>22</v>
      </c>
      <c r="U119" s="1">
        <f>ROUNDUP(811.48*(1-$F$3),2)</f>
        <v/>
      </c>
      <c r="V119" s="1" t="n">
        <v>471</v>
      </c>
      <c r="Y119" s="1" t="inlineStr">
        <is>
          <t>Хроники пепельной весны.  Кн. 1: Магма ведьм</t>
        </is>
      </c>
      <c r="Z119" s="1" t="inlineStr">
        <is>
          <t>18+</t>
        </is>
      </c>
      <c r="AA119" s="12" t="n">
        <v>46093</v>
      </c>
      <c r="AB119" s="1" t="inlineStr">
        <is>
          <t>Художественная литература</t>
        </is>
      </c>
      <c r="AC119" s="1" t="inlineStr">
        <is>
          <t>Фантастика. Мистика. Ужасы</t>
        </is>
      </c>
      <c r="AD119" s="1" t="inlineStr">
        <is>
          <t>Фэнтези</t>
        </is>
      </c>
      <c r="AE119" s="1" t="inlineStr">
        <is>
          <t>офсетная</t>
        </is>
      </c>
      <c r="AG119" s="1" t="n">
        <v>12039310</v>
      </c>
      <c r="AI119" s="1" t="inlineStr">
        <is>
          <t>4901990000</t>
        </is>
      </c>
      <c r="AJ119" s="1" t="inlineStr">
        <is>
          <t>Зпв</t>
        </is>
      </c>
    </row>
    <row r="120" customFormat="1" s="1">
      <c r="C120" s="1" t="inlineStr">
        <is>
          <t xml:space="preserve">12145080            </t>
        </is>
      </c>
      <c r="E120" s="1" t="inlineStr">
        <is>
          <t>Чаепитие с драконом. Традиции и стратегии ведения бизнеса в Китае. Маслов А.А.</t>
        </is>
      </c>
      <c r="F120" s="13" t="inlineStr">
        <is>
          <t>См.обл.</t>
        </is>
      </c>
      <c r="G120" s="1" t="inlineStr">
        <is>
          <t>Маслов А.А.</t>
        </is>
      </c>
      <c r="H120" s="1" t="inlineStr">
        <is>
          <t>70х100/16</t>
        </is>
      </c>
      <c r="I120" s="1" t="n">
        <v>592</v>
      </c>
      <c r="J120" s="1" t="inlineStr">
        <is>
          <t>РИПОЛ Классик</t>
        </is>
      </c>
      <c r="M120" s="1" t="inlineStr">
        <is>
          <t>2026</t>
        </is>
      </c>
      <c r="N120" s="1" t="inlineStr">
        <is>
          <t>П</t>
        </is>
      </c>
      <c r="O120" s="9" t="n">
        <v>6</v>
      </c>
      <c r="P120" s="1">
        <f>ROUNDUP(1890*(1-$F$3),2)</f>
        <v/>
      </c>
      <c r="Q120" s="1" t="inlineStr">
        <is>
          <t> </t>
        </is>
      </c>
      <c r="R120" s="1" t="inlineStr">
        <is>
          <t>978-5-386-15615-2</t>
        </is>
      </c>
      <c r="S120" s="1" t="inlineStr">
        <is>
          <t>9785386156152</t>
        </is>
      </c>
      <c r="T120" s="9" t="n">
        <v>22</v>
      </c>
      <c r="U120" s="1">
        <f>ROUNDUP(1549.18*(1-$F$3),2)</f>
        <v/>
      </c>
      <c r="V120" s="1" t="n">
        <v>872</v>
      </c>
      <c r="Y120" s="1" t="inlineStr">
        <is>
          <t>Чаепитие с драконом. Традиции и стратегии ведения бизнеса в Китае</t>
        </is>
      </c>
      <c r="Z120" s="1" t="inlineStr">
        <is>
          <t>18+</t>
        </is>
      </c>
      <c r="AA120" s="12" t="n">
        <v>46176</v>
      </c>
      <c r="AB120" s="1" t="inlineStr">
        <is>
          <t>Экономика. Экономические науки</t>
        </is>
      </c>
      <c r="AC120" s="1" t="inlineStr">
        <is>
          <t>Экономика</t>
        </is>
      </c>
      <c r="AD120" s="1" t="inlineStr">
        <is>
          <t>Мировая экономика. Международные экономические отношения</t>
        </is>
      </c>
      <c r="AE120" s="1" t="inlineStr">
        <is>
          <t>офсетная</t>
        </is>
      </c>
      <c r="AG120" s="1" t="n">
        <v>12145080</v>
      </c>
      <c r="AI120" s="1" t="inlineStr">
        <is>
          <t>4901990000</t>
        </is>
      </c>
      <c r="AJ120" s="1" t="inlineStr">
        <is>
          <t>Зпв</t>
        </is>
      </c>
    </row>
    <row r="121" customFormat="1" s="1">
      <c r="C121" s="1" t="inlineStr">
        <is>
          <t>11664300</t>
        </is>
      </c>
      <c r="E121" s="1" t="inlineStr">
        <is>
          <t>Чертова невеста; Русский хоррор начала ХХ века со страниц старых журналов; Грозный идол, или Строители ада на земле; Волхвы (комплект из 3-х книг). Куприн А.И., Соловьев В.С., Эльснер А.О.</t>
        </is>
      </c>
      <c r="F121" s="13" t="inlineStr">
        <is>
          <t>См.обл.</t>
        </is>
      </c>
      <c r="G121" s="1" t="inlineStr">
        <is>
          <t>Куприн А.И., Соловьев В.С., Эльснер А.О.</t>
        </is>
      </c>
      <c r="H121" s="1" t="inlineStr">
        <is>
          <t>84х108/32</t>
        </is>
      </c>
      <c r="I121" s="1" t="n">
        <v>1192</v>
      </c>
      <c r="J121" s="1" t="inlineStr">
        <is>
          <t>РИПОЛ Классик</t>
        </is>
      </c>
      <c r="M121" s="1" t="inlineStr">
        <is>
          <t>2025</t>
        </is>
      </c>
      <c r="N121" s="1" t="inlineStr">
        <is>
          <t>П</t>
        </is>
      </c>
      <c r="O121" s="9" t="n"/>
      <c r="P121" s="1">
        <f>ROUNDUP(3290*(1-$F$3),2)</f>
        <v/>
      </c>
      <c r="Q121" s="1" t="inlineStr">
        <is>
          <t> </t>
        </is>
      </c>
      <c r="R121" s="1" t="inlineStr">
        <is>
          <t>978-5-521-84491-3</t>
        </is>
      </c>
      <c r="S121" s="1" t="inlineStr">
        <is>
          <t>9785521844913</t>
        </is>
      </c>
      <c r="T121" s="9" t="n">
        <v>10</v>
      </c>
      <c r="U121" s="1">
        <f>ROUNDUP(2990.91*(1-$F$3),2)</f>
        <v/>
      </c>
      <c r="V121" s="1" t="n">
        <v>1284</v>
      </c>
      <c r="Y121" s="1" t="inlineStr">
        <is>
          <t>Чертова невеста; Русский хоррор начала ХХ века со страниц старых журналов; Грозный идол, или Строители ада на земле; Волхвы (комплект из 3-х книг)</t>
        </is>
      </c>
      <c r="Z121" s="1" t="inlineStr">
        <is>
          <t>16+</t>
        </is>
      </c>
      <c r="AA121" s="12" t="n">
        <v>45706</v>
      </c>
      <c r="AB121" s="1" t="inlineStr">
        <is>
          <t>Художественная литература</t>
        </is>
      </c>
      <c r="AC121" s="1" t="inlineStr">
        <is>
          <t>Фантастика. Мистика. Ужасы</t>
        </is>
      </c>
      <c r="AD121" s="1" t="inlineStr">
        <is>
          <t>Мистика. Ужасы</t>
        </is>
      </c>
      <c r="AE121" s="1" t="inlineStr">
        <is>
          <t>офсетная</t>
        </is>
      </c>
      <c r="AG121" s="1" t="n">
        <v>11664300</v>
      </c>
      <c r="AI121" s="1" t="inlineStr">
        <is>
          <t>4901990000</t>
        </is>
      </c>
    </row>
    <row r="122" customFormat="1" s="1">
      <c r="C122" s="1" t="inlineStr">
        <is>
          <t xml:space="preserve">10726950            </t>
        </is>
      </c>
      <c r="E122" s="1" t="inlineStr">
        <is>
          <t>Чик и Чирик. Шмидт В., Шмидт А.-К</t>
        </is>
      </c>
      <c r="F122" s="13" t="inlineStr">
        <is>
          <t>См.обл.</t>
        </is>
      </c>
      <c r="G122" s="1" t="inlineStr">
        <is>
          <t>Шмидт В., Шмидт А.-К.</t>
        </is>
      </c>
      <c r="H122" s="1" t="inlineStr">
        <is>
          <t>60х108/8</t>
        </is>
      </c>
      <c r="I122" s="1" t="n">
        <v>72</v>
      </c>
      <c r="J122" s="1" t="inlineStr">
        <is>
          <t>РИПОЛ Классик</t>
        </is>
      </c>
      <c r="M122" s="1" t="inlineStr">
        <is>
          <t>2023</t>
        </is>
      </c>
      <c r="N122" s="1" t="inlineStr">
        <is>
          <t>П</t>
        </is>
      </c>
      <c r="O122" s="9" t="n">
        <v>10</v>
      </c>
      <c r="P122" s="1">
        <f>ROUNDUP(630*(1-$F$3),2)</f>
        <v/>
      </c>
      <c r="Q122" s="1" t="inlineStr">
        <is>
          <t> </t>
        </is>
      </c>
      <c r="R122" s="1" t="inlineStr">
        <is>
          <t>978-5-386-14930-7</t>
        </is>
      </c>
      <c r="S122" s="1" t="inlineStr">
        <is>
          <t>9785386149307</t>
        </is>
      </c>
      <c r="T122" s="9" t="n">
        <v>10</v>
      </c>
      <c r="U122" s="1">
        <f>ROUNDUP(572.73*(1-$F$3),2)</f>
        <v/>
      </c>
      <c r="V122" s="1" t="n">
        <v>564</v>
      </c>
      <c r="Y122" s="1" t="inlineStr">
        <is>
          <t>Чик и Чирик</t>
        </is>
      </c>
      <c r="Z122" s="1" t="inlineStr">
        <is>
          <t>6 +</t>
        </is>
      </c>
      <c r="AA122" s="12" t="n">
        <v>44924</v>
      </c>
      <c r="AB122" s="1" t="inlineStr">
        <is>
          <t>Детская литература</t>
        </is>
      </c>
      <c r="AC122" s="1" t="inlineStr">
        <is>
          <t>Художественная литература</t>
        </is>
      </c>
      <c r="AD122" s="1" t="inlineStr">
        <is>
          <t>Литературная сказка</t>
        </is>
      </c>
      <c r="AE122" s="1" t="inlineStr">
        <is>
          <t>офсетная</t>
        </is>
      </c>
      <c r="AG122" s="1" t="n">
        <v>10726950</v>
      </c>
      <c r="AI122" s="1" t="inlineStr">
        <is>
          <t>4901990000</t>
        </is>
      </c>
    </row>
    <row r="123" customFormat="1" s="1">
      <c r="C123" s="1" t="inlineStr">
        <is>
          <t xml:space="preserve">11860060            </t>
        </is>
      </c>
      <c r="E123" s="1" t="inlineStr">
        <is>
          <t>Что говорит Коран? Цитаты на 57 тем с комментариями. Оганесян С.С., Хаади Т.А.</t>
        </is>
      </c>
      <c r="F123" s="13" t="inlineStr">
        <is>
          <t>См.обл.</t>
        </is>
      </c>
      <c r="G123" s="1" t="inlineStr">
        <is>
          <t>Оганесян С.С., Хаади Т.А.</t>
        </is>
      </c>
      <c r="H123" s="1" t="inlineStr">
        <is>
          <t>60х90/16</t>
        </is>
      </c>
      <c r="I123" s="1" t="n">
        <v>320</v>
      </c>
      <c r="J123" s="1" t="inlineStr">
        <is>
          <t>РИПОЛ Классик</t>
        </is>
      </c>
      <c r="M123" s="1" t="inlineStr">
        <is>
          <t>2025</t>
        </is>
      </c>
      <c r="N123" s="1" t="inlineStr">
        <is>
          <t>П</t>
        </is>
      </c>
      <c r="O123" s="9" t="n">
        <v>5</v>
      </c>
      <c r="P123" s="1">
        <f>ROUNDUP(1250*(1-$F$3),2)</f>
        <v/>
      </c>
      <c r="Q123" s="1" t="inlineStr">
        <is>
          <t> </t>
        </is>
      </c>
      <c r="R123" s="1" t="inlineStr">
        <is>
          <t>978-5-386-15418-9</t>
        </is>
      </c>
      <c r="S123" s="1" t="inlineStr">
        <is>
          <t>9785386154189</t>
        </is>
      </c>
      <c r="T123" s="9" t="n">
        <v>10</v>
      </c>
      <c r="U123" s="1">
        <f>ROUNDUP(1136.36*(1-$F$3),2)</f>
        <v/>
      </c>
      <c r="V123" s="1" t="n">
        <v>471</v>
      </c>
      <c r="Y123" s="1" t="inlineStr">
        <is>
          <t>Что говорит Коран? Цитаты на 57 тем с комментариями</t>
        </is>
      </c>
      <c r="Z123" s="1" t="inlineStr">
        <is>
          <t>12+</t>
        </is>
      </c>
      <c r="AA123" s="12" t="n">
        <v>45910</v>
      </c>
      <c r="AB123" s="1" t="inlineStr">
        <is>
          <t>Религии. Эзотерика. Оккультизм</t>
        </is>
      </c>
      <c r="AC123" s="1" t="inlineStr">
        <is>
          <t>Ислам (мусульманство)</t>
        </is>
      </c>
      <c r="AD123" s="1" t="inlineStr">
        <is>
          <t>Ислам. Суфизм</t>
        </is>
      </c>
      <c r="AE123" s="1" t="inlineStr">
        <is>
          <t>офсетная</t>
        </is>
      </c>
      <c r="AG123" s="1" t="n">
        <v>11860060</v>
      </c>
      <c r="AI123" s="1" t="inlineStr">
        <is>
          <t>4901990000</t>
        </is>
      </c>
    </row>
    <row r="124" customFormat="1" s="1">
      <c r="C124" s="1" t="inlineStr">
        <is>
          <t xml:space="preserve">7954640             </t>
        </is>
      </c>
      <c r="E124" s="1" t="inlineStr">
        <is>
          <t>Что такое Африка. Бабаев К.В., Архангельская А.</t>
        </is>
      </c>
      <c r="F124" s="13" t="inlineStr">
        <is>
          <t>См.обл.</t>
        </is>
      </c>
      <c r="G124" s="1" t="inlineStr">
        <is>
          <t>Бабаев К.В., Архангельская А.</t>
        </is>
      </c>
      <c r="H124" s="1" t="inlineStr">
        <is>
          <t>84х108/16</t>
        </is>
      </c>
      <c r="I124" s="1" t="n">
        <v>480</v>
      </c>
      <c r="J124" s="1" t="inlineStr">
        <is>
          <t>РИПОЛ Классик</t>
        </is>
      </c>
      <c r="M124" s="1" t="inlineStr">
        <is>
          <t>2024</t>
        </is>
      </c>
      <c r="N124" s="1" t="inlineStr">
        <is>
          <t>П</t>
        </is>
      </c>
      <c r="O124" s="9" t="n">
        <v>3</v>
      </c>
      <c r="P124" s="1">
        <f>ROUNDUP(6470*(1-$F$3),2)</f>
        <v/>
      </c>
      <c r="Q124" s="1" t="inlineStr">
        <is>
          <t> </t>
        </is>
      </c>
      <c r="R124" s="1" t="inlineStr">
        <is>
          <t>978-5-386-08595-7</t>
        </is>
      </c>
      <c r="S124" s="1" t="inlineStr">
        <is>
          <t>9785386085957</t>
        </is>
      </c>
      <c r="T124" s="9" t="n">
        <v>10</v>
      </c>
      <c r="U124" s="1">
        <f>ROUNDUP(5881.82*(1-$F$3),2)</f>
        <v/>
      </c>
      <c r="V124" s="1" t="n">
        <v>1624</v>
      </c>
      <c r="Y124" s="1" t="inlineStr">
        <is>
          <t>Что такое Африка</t>
        </is>
      </c>
      <c r="AA124" s="12" t="n">
        <v>42725</v>
      </c>
      <c r="AB124" s="1" t="inlineStr">
        <is>
          <t>Естественные науки. Математика</t>
        </is>
      </c>
      <c r="AC124" s="1" t="inlineStr">
        <is>
          <t>Науки о Земле</t>
        </is>
      </c>
      <c r="AD124" s="1" t="inlineStr">
        <is>
          <t>Страноведение. Краеведение</t>
        </is>
      </c>
      <c r="AE124" s="1" t="inlineStr">
        <is>
          <t>офсетная</t>
        </is>
      </c>
      <c r="AG124" s="1" t="n">
        <v>7954640</v>
      </c>
      <c r="AI124" s="1" t="inlineStr">
        <is>
          <t>4901990000</t>
        </is>
      </c>
    </row>
    <row r="125" customFormat="1" s="1">
      <c r="C125" s="1" t="inlineStr">
        <is>
          <t xml:space="preserve">11874680            </t>
        </is>
      </c>
      <c r="E125" s="1" t="inlineStr">
        <is>
          <t>Энциклопедия архитектурных стилей. Классический труд по европейскому зодчеству от античности до современности. Кох В.</t>
        </is>
      </c>
      <c r="F125" s="13" t="inlineStr">
        <is>
          <t>См.обл.</t>
        </is>
      </c>
      <c r="G125" s="1" t="inlineStr">
        <is>
          <t>Кох В.</t>
        </is>
      </c>
      <c r="H125" s="1" t="inlineStr">
        <is>
          <t>84х108/16</t>
        </is>
      </c>
      <c r="I125" s="1" t="n">
        <v>528</v>
      </c>
      <c r="J125" s="1" t="inlineStr">
        <is>
          <t>РИПОЛ Классик</t>
        </is>
      </c>
      <c r="M125" s="1" t="inlineStr">
        <is>
          <t>2025</t>
        </is>
      </c>
      <c r="N125" s="1" t="inlineStr">
        <is>
          <t>П</t>
        </is>
      </c>
      <c r="O125" s="9" t="n">
        <v>3</v>
      </c>
      <c r="P125" s="1">
        <f>ROUNDUP(3660*(1-$F$3),2)</f>
        <v/>
      </c>
      <c r="Q125" s="1" t="inlineStr">
        <is>
          <t> </t>
        </is>
      </c>
      <c r="R125" s="1" t="inlineStr">
        <is>
          <t>978-5-386-15476-9</t>
        </is>
      </c>
      <c r="S125" s="1" t="inlineStr">
        <is>
          <t>9785386154769</t>
        </is>
      </c>
      <c r="T125" s="9" t="n">
        <v>10</v>
      </c>
      <c r="U125" s="1">
        <f>ROUNDUP(3327.27*(1-$F$3),2)</f>
        <v/>
      </c>
      <c r="V125" s="1" t="n">
        <v>1604</v>
      </c>
      <c r="Y125" s="1" t="inlineStr">
        <is>
          <t>Энциклопедия архитектурных стилей. Классический труд по европейскому зодчеству от античности до современности</t>
        </is>
      </c>
      <c r="Z125" s="1" t="inlineStr">
        <is>
          <t>16+</t>
        </is>
      </c>
      <c r="AA125" s="12" t="n">
        <v>45944</v>
      </c>
      <c r="AB125" s="1" t="inlineStr">
        <is>
          <t>Искусство</t>
        </is>
      </c>
      <c r="AC125" s="1" t="inlineStr">
        <is>
          <t>Изобразительное искусство. Архитектура</t>
        </is>
      </c>
      <c r="AD125" s="1" t="inlineStr">
        <is>
          <t>Архитектура</t>
        </is>
      </c>
      <c r="AE125" s="1" t="inlineStr">
        <is>
          <t>офсетная</t>
        </is>
      </c>
      <c r="AG125" s="1" t="n">
        <v>11874680</v>
      </c>
      <c r="AI125" s="1" t="inlineStr">
        <is>
          <t>4901910000</t>
        </is>
      </c>
    </row>
    <row r="126" customFormat="1" s="11">
      <c r="A126" s="11" t="inlineStr">
        <is>
          <t>нов</t>
        </is>
      </c>
      <c r="C126" s="11" t="inlineStr">
        <is>
          <t xml:space="preserve">12252050            </t>
        </is>
      </c>
      <c r="E126" s="11" t="inlineStr">
        <is>
          <t>Я сделаю себя счастливой. 100 дней до выхода из абьюза. Семенова А.</t>
        </is>
      </c>
      <c r="F126" s="14" t="inlineStr">
        <is>
          <t>См.обл.</t>
        </is>
      </c>
      <c r="G126" s="11" t="inlineStr">
        <is>
          <t>Семенова А.</t>
        </is>
      </c>
      <c r="H126" s="11" t="inlineStr">
        <is>
          <t>80х100/32</t>
        </is>
      </c>
      <c r="I126" s="11" t="n">
        <v>352</v>
      </c>
      <c r="J126" s="11" t="inlineStr">
        <is>
          <t>РИПОЛ Классик</t>
        </is>
      </c>
      <c r="M126" s="11" t="inlineStr">
        <is>
          <t>2026</t>
        </is>
      </c>
      <c r="N126" s="11" t="inlineStr">
        <is>
          <t>О</t>
        </is>
      </c>
      <c r="O126" s="26" t="n">
        <v>12</v>
      </c>
      <c r="P126" s="11">
        <f>ROUNDUP(790*(1-$F$3),2)</f>
        <v/>
      </c>
      <c r="Q126" s="11" t="inlineStr">
        <is>
          <t> </t>
        </is>
      </c>
      <c r="R126" s="11" t="inlineStr">
        <is>
          <t>978-5-386-15548-3</t>
        </is>
      </c>
      <c r="S126" s="11" t="inlineStr">
        <is>
          <t>9785386155483</t>
        </is>
      </c>
      <c r="T126" s="26" t="n">
        <v>22</v>
      </c>
      <c r="U126" s="11">
        <f>ROUNDUP(647.54*(1-$F$3),2)</f>
        <v/>
      </c>
      <c r="V126" s="11" t="n">
        <v>304</v>
      </c>
      <c r="Y126" s="11" t="inlineStr">
        <is>
          <t>Я сделаю себя счастливой. 100 дней до выхода из абьюза</t>
        </is>
      </c>
      <c r="Z126" s="11" t="inlineStr">
        <is>
          <t>18+</t>
        </is>
      </c>
      <c r="AA126" s="15" t="n">
        <v>46265</v>
      </c>
      <c r="AB126" s="11" t="inlineStr">
        <is>
          <t>Художественная литература</t>
        </is>
      </c>
      <c r="AC126" s="11" t="inlineStr">
        <is>
          <t>Русская литература</t>
        </is>
      </c>
      <c r="AD126" s="11" t="inlineStr">
        <is>
          <t>Современная литература</t>
        </is>
      </c>
      <c r="AE126" s="11" t="inlineStr">
        <is>
          <t>офсетная</t>
        </is>
      </c>
      <c r="AG126" s="11" t="n">
        <v>12252050</v>
      </c>
      <c r="AI126" s="11" t="inlineStr">
        <is>
          <t>4901990000</t>
        </is>
      </c>
    </row>
    <row r="127" customFormat="1" s="1">
      <c r="C127" s="1" t="inlineStr">
        <is>
          <t xml:space="preserve">8487150             </t>
        </is>
      </c>
      <c r="D127" s="1" t="inlineStr">
        <is>
          <t>100 уроков жизни</t>
        </is>
      </c>
      <c r="E127" s="1" t="inlineStr">
        <is>
          <t>Источник молодости. Сост. Романова М.</t>
        </is>
      </c>
      <c r="F127" s="13" t="inlineStr">
        <is>
          <t>См.обл.</t>
        </is>
      </c>
      <c r="G127" s="1" t="inlineStr">
        <is>
          <t>Сост. Романова М.</t>
        </is>
      </c>
      <c r="H127" s="1" t="inlineStr">
        <is>
          <t>60х90/16</t>
        </is>
      </c>
      <c r="I127" s="1" t="n">
        <v>192</v>
      </c>
      <c r="J127" s="1" t="inlineStr">
        <is>
          <t>РИПОЛ Классик</t>
        </is>
      </c>
      <c r="M127" s="1" t="inlineStr">
        <is>
          <t>2018</t>
        </is>
      </c>
      <c r="N127" s="1" t="inlineStr">
        <is>
          <t>О</t>
        </is>
      </c>
      <c r="O127" s="9" t="n">
        <v>12</v>
      </c>
      <c r="P127" s="1">
        <f>ROUNDUP(573.2*(1-$F$3),2)</f>
        <v/>
      </c>
      <c r="Q127" s="1" t="inlineStr">
        <is>
          <t> </t>
        </is>
      </c>
      <c r="R127" s="1" t="inlineStr">
        <is>
          <t>978-5-386-10614-0</t>
        </is>
      </c>
      <c r="S127" s="1" t="inlineStr">
        <is>
          <t>9785386106140</t>
        </is>
      </c>
      <c r="T127" s="9" t="n">
        <v>10</v>
      </c>
      <c r="U127" s="1">
        <f>ROUNDUP(521.09*(1-$F$3),2)</f>
        <v/>
      </c>
      <c r="V127" s="1" t="n">
        <v>264</v>
      </c>
      <c r="Y127" s="1" t="inlineStr">
        <is>
          <t>Источник молодости</t>
        </is>
      </c>
      <c r="Z127" s="1" t="inlineStr">
        <is>
          <t>16+</t>
        </is>
      </c>
      <c r="AA127" s="12" t="n">
        <v>43190</v>
      </c>
      <c r="AB127" s="1" t="inlineStr">
        <is>
          <t>Гуманитарные науки</t>
        </is>
      </c>
      <c r="AC127" s="1" t="inlineStr">
        <is>
          <t>Психология</t>
        </is>
      </c>
      <c r="AD127" s="1" t="inlineStr">
        <is>
          <t>Прикладная психология</t>
        </is>
      </c>
      <c r="AE127" s="1" t="inlineStr">
        <is>
          <t>офсетная</t>
        </is>
      </c>
      <c r="AG127" s="1" t="n">
        <v>8487150</v>
      </c>
      <c r="AI127" s="1" t="inlineStr">
        <is>
          <t>4901990000</t>
        </is>
      </c>
    </row>
    <row r="128" customFormat="1" s="1">
      <c r="C128" s="1" t="inlineStr">
        <is>
          <t xml:space="preserve">11499380            </t>
        </is>
      </c>
      <c r="D128" s="1" t="inlineStr">
        <is>
          <t>1001 гороскоп</t>
        </is>
      </c>
      <c r="E128" s="1" t="inlineStr">
        <is>
          <t>Дева-2025. Календарь-гороскоп благоприятных дней Девы в 2025 году. Зима Д., Счастливая Д.</t>
        </is>
      </c>
      <c r="F128" s="13" t="inlineStr">
        <is>
          <t>См.обл.</t>
        </is>
      </c>
      <c r="G128" s="1" t="inlineStr">
        <is>
          <t>Зима Д., Счастливая Д.</t>
        </is>
      </c>
      <c r="H128" s="1" t="inlineStr">
        <is>
          <t>84х108/32</t>
        </is>
      </c>
      <c r="I128" s="1" t="n">
        <v>352</v>
      </c>
      <c r="J128" s="1" t="inlineStr">
        <is>
          <t>РИПОЛ Классик</t>
        </is>
      </c>
      <c r="M128" s="1" t="inlineStr">
        <is>
          <t>2025</t>
        </is>
      </c>
      <c r="N128" s="1" t="inlineStr">
        <is>
          <t>О</t>
        </is>
      </c>
      <c r="O128" s="9" t="n">
        <v>6</v>
      </c>
      <c r="P128" s="1">
        <f>ROUNDUP(438.9*(1-$F$3),2)</f>
        <v/>
      </c>
      <c r="Q128" s="1" t="inlineStr">
        <is>
          <t> </t>
        </is>
      </c>
      <c r="R128" s="1" t="inlineStr">
        <is>
          <t>978-5-386-15338-0</t>
        </is>
      </c>
      <c r="S128" s="1" t="inlineStr">
        <is>
          <t>9785386153380</t>
        </is>
      </c>
      <c r="T128" s="9" t="n">
        <v>22</v>
      </c>
      <c r="U128" s="1">
        <f>ROUNDUP(359.75*(1-$F$3),2)</f>
        <v/>
      </c>
      <c r="V128" s="1" t="n">
        <v>209</v>
      </c>
      <c r="Y128" s="1" t="inlineStr">
        <is>
          <t>Дева-2025. Календарь-гороскоп благоприятных дней Девы в 2025 году</t>
        </is>
      </c>
      <c r="Z128" s="1" t="inlineStr">
        <is>
          <t>16+</t>
        </is>
      </c>
      <c r="AA128" s="12" t="n">
        <v>45590</v>
      </c>
      <c r="AB128" s="1" t="inlineStr">
        <is>
          <t>Религии. Эзотерика. Оккультизм</t>
        </is>
      </c>
      <c r="AC128" s="1" t="inlineStr">
        <is>
          <t>Эзотерика. Парапсихология. Тайны</t>
        </is>
      </c>
      <c r="AD128" s="1" t="inlineStr">
        <is>
          <t>Астрология. Нумерология</t>
        </is>
      </c>
      <c r="AE128" s="1" t="inlineStr">
        <is>
          <t>офсетная</t>
        </is>
      </c>
      <c r="AG128" s="1" t="n">
        <v>11499380</v>
      </c>
      <c r="AI128" s="1" t="inlineStr">
        <is>
          <t>4901990000</t>
        </is>
      </c>
    </row>
    <row r="129" customFormat="1" s="1">
      <c r="C129" s="1" t="inlineStr">
        <is>
          <t xml:space="preserve">11499420            </t>
        </is>
      </c>
      <c r="D129" s="1" t="inlineStr">
        <is>
          <t>1001 гороскоп</t>
        </is>
      </c>
      <c r="E129" s="1" t="inlineStr">
        <is>
          <t>Рак-2025. Календарь-гороскоп благоприятных дней Рака в 2025 году. Зима Д., Счастливая Д.</t>
        </is>
      </c>
      <c r="F129" s="13" t="inlineStr">
        <is>
          <t>См.обл.</t>
        </is>
      </c>
      <c r="G129" s="1" t="inlineStr">
        <is>
          <t>Зима Д., Счастливая Д.</t>
        </is>
      </c>
      <c r="H129" s="1" t="inlineStr">
        <is>
          <t>84х108/32</t>
        </is>
      </c>
      <c r="I129" s="1" t="n">
        <v>352</v>
      </c>
      <c r="J129" s="1" t="inlineStr">
        <is>
          <t>РИПОЛ Классик</t>
        </is>
      </c>
      <c r="M129" s="1" t="inlineStr">
        <is>
          <t>2025</t>
        </is>
      </c>
      <c r="N129" s="1" t="inlineStr">
        <is>
          <t>О</t>
        </is>
      </c>
      <c r="O129" s="9" t="n">
        <v>6</v>
      </c>
      <c r="P129" s="1">
        <f>ROUNDUP(438.9*(1-$F$3),2)</f>
        <v/>
      </c>
      <c r="Q129" s="1" t="inlineStr">
        <is>
          <t> </t>
        </is>
      </c>
      <c r="R129" s="1" t="inlineStr">
        <is>
          <t>978-5-386-15336-6</t>
        </is>
      </c>
      <c r="S129" s="1" t="inlineStr">
        <is>
          <t>9785386153366</t>
        </is>
      </c>
      <c r="T129" s="9" t="n">
        <v>22</v>
      </c>
      <c r="U129" s="1">
        <f>ROUNDUP(359.75*(1-$F$3),2)</f>
        <v/>
      </c>
      <c r="V129" s="1" t="n">
        <v>209</v>
      </c>
      <c r="Y129" s="1" t="inlineStr">
        <is>
          <t>Рак-2025. Календарь-гороскоп благоприятных дней Рака в 2025 году</t>
        </is>
      </c>
      <c r="Z129" s="1" t="inlineStr">
        <is>
          <t>16+</t>
        </is>
      </c>
      <c r="AA129" s="12" t="n">
        <v>45590</v>
      </c>
      <c r="AB129" s="1" t="inlineStr">
        <is>
          <t>Религии. Эзотерика. Оккультизм</t>
        </is>
      </c>
      <c r="AC129" s="1" t="inlineStr">
        <is>
          <t>Эзотерика. Парапсихология. Тайны</t>
        </is>
      </c>
      <c r="AD129" s="1" t="inlineStr">
        <is>
          <t>Астрология. Нумерология</t>
        </is>
      </c>
      <c r="AE129" s="1" t="inlineStr">
        <is>
          <t>офсетная</t>
        </is>
      </c>
      <c r="AG129" s="1" t="n">
        <v>11499420</v>
      </c>
      <c r="AI129" s="1" t="inlineStr">
        <is>
          <t>4901990000</t>
        </is>
      </c>
    </row>
    <row r="130" customFormat="1" s="1">
      <c r="C130" s="1" t="inlineStr">
        <is>
          <t xml:space="preserve">10309320            </t>
        </is>
      </c>
      <c r="D130" s="1" t="inlineStr">
        <is>
          <t>1793</t>
        </is>
      </c>
      <c r="E130" s="1" t="inlineStr">
        <is>
          <t>1793. Натт-о-Даг Н.</t>
        </is>
      </c>
      <c r="F130" s="13" t="inlineStr">
        <is>
          <t>См.обл.</t>
        </is>
      </c>
      <c r="G130" s="1" t="inlineStr">
        <is>
          <t>Натт-о-Даг Н.</t>
        </is>
      </c>
      <c r="H130" s="1" t="inlineStr">
        <is>
          <t>60х90/16</t>
        </is>
      </c>
      <c r="I130" s="1" t="n">
        <v>496</v>
      </c>
      <c r="J130" s="1" t="inlineStr">
        <is>
          <t>РИПОЛ Классик</t>
        </is>
      </c>
      <c r="M130" s="1" t="inlineStr">
        <is>
          <t>2022</t>
        </is>
      </c>
      <c r="N130" s="1" t="inlineStr">
        <is>
          <t>П</t>
        </is>
      </c>
      <c r="O130" s="9" t="n">
        <v>10</v>
      </c>
      <c r="P130" s="1">
        <f>ROUNDUP(1340*(1-$F$3),2)</f>
        <v/>
      </c>
      <c r="Q130" s="1" t="inlineStr">
        <is>
          <t> </t>
        </is>
      </c>
      <c r="R130" s="1" t="inlineStr">
        <is>
          <t>978-5-386-14686-3</t>
        </is>
      </c>
      <c r="S130" s="1" t="inlineStr">
        <is>
          <t>9785386146863</t>
        </is>
      </c>
      <c r="T130" s="9" t="n">
        <v>10</v>
      </c>
      <c r="U130" s="1">
        <f>ROUNDUP(1218.18*(1-$F$3),2)</f>
        <v/>
      </c>
      <c r="V130" s="1" t="n">
        <v>589</v>
      </c>
      <c r="Y130" s="1" t="inlineStr">
        <is>
          <t>1793</t>
        </is>
      </c>
      <c r="Z130" s="1" t="inlineStr">
        <is>
          <t>18+</t>
        </is>
      </c>
      <c r="AA130" s="12" t="n">
        <v>44741</v>
      </c>
      <c r="AB130" s="1" t="inlineStr">
        <is>
          <t>Художественная литература</t>
        </is>
      </c>
      <c r="AC130" s="1" t="inlineStr">
        <is>
          <t>Детективы. Боевики. Триллеры</t>
        </is>
      </c>
      <c r="AD130" s="1" t="inlineStr">
        <is>
          <t>Зарубежный детектив</t>
        </is>
      </c>
      <c r="AE130" s="1" t="inlineStr">
        <is>
          <t>офсетная</t>
        </is>
      </c>
      <c r="AG130" s="1" t="n">
        <v>10309320</v>
      </c>
      <c r="AI130" s="1" t="inlineStr">
        <is>
          <t>4901990000</t>
        </is>
      </c>
      <c r="AJ130" s="1" t="inlineStr">
        <is>
          <t>Зпв</t>
        </is>
      </c>
    </row>
    <row r="131" customFormat="1" s="1">
      <c r="C131" s="1" t="inlineStr">
        <is>
          <t xml:space="preserve">9588320             </t>
        </is>
      </c>
      <c r="D131" s="1" t="inlineStr">
        <is>
          <t>1793</t>
        </is>
      </c>
      <c r="E131" s="1" t="inlineStr">
        <is>
          <t>Выжившие: роман. Джеймесон Х.</t>
        </is>
      </c>
      <c r="F131" s="13" t="inlineStr">
        <is>
          <t>См.обл.</t>
        </is>
      </c>
      <c r="G131" s="1" t="inlineStr">
        <is>
          <t>Джеймесон Х.</t>
        </is>
      </c>
      <c r="H131" s="1" t="inlineStr">
        <is>
          <t>60х90/16</t>
        </is>
      </c>
      <c r="I131" s="1" t="n">
        <v>400</v>
      </c>
      <c r="J131" s="1" t="inlineStr">
        <is>
          <t>РИПОЛ Классик</t>
        </is>
      </c>
      <c r="M131" s="1" t="inlineStr">
        <is>
          <t>2021</t>
        </is>
      </c>
      <c r="N131" s="1" t="inlineStr">
        <is>
          <t>П</t>
        </is>
      </c>
      <c r="O131" s="9" t="n">
        <v>10</v>
      </c>
      <c r="P131" s="1">
        <f>ROUNDUP(1150*(1-$F$3),2)</f>
        <v/>
      </c>
      <c r="Q131" s="1" t="inlineStr">
        <is>
          <t> </t>
        </is>
      </c>
      <c r="R131" s="1" t="inlineStr">
        <is>
          <t>978-5-386-13935-3</t>
        </is>
      </c>
      <c r="S131" s="1" t="inlineStr">
        <is>
          <t>9785386139353</t>
        </is>
      </c>
      <c r="T131" s="9" t="n">
        <v>10</v>
      </c>
      <c r="U131" s="1">
        <f>ROUNDUP(1045.45*(1-$F$3),2)</f>
        <v/>
      </c>
      <c r="V131" s="1" t="n">
        <v>509</v>
      </c>
      <c r="Y131" s="1" t="inlineStr">
        <is>
          <t>Выжившие: роман</t>
        </is>
      </c>
      <c r="Z131" s="1" t="inlineStr">
        <is>
          <t>16+</t>
        </is>
      </c>
      <c r="AA131" s="12" t="n">
        <v>44215</v>
      </c>
      <c r="AB131" s="1" t="inlineStr">
        <is>
          <t>Художественная литература</t>
        </is>
      </c>
      <c r="AC131" s="1" t="inlineStr">
        <is>
          <t>Детективы. Боевики. Триллеры</t>
        </is>
      </c>
      <c r="AD131" s="1" t="inlineStr">
        <is>
          <t>Зарубежный детектив</t>
        </is>
      </c>
      <c r="AE131" s="1" t="inlineStr">
        <is>
          <t>офсетная</t>
        </is>
      </c>
      <c r="AG131" s="1" t="n">
        <v>9588320</v>
      </c>
      <c r="AI131" s="1" t="inlineStr">
        <is>
          <t>4901990000</t>
        </is>
      </c>
    </row>
    <row r="132" customFormat="1" s="1">
      <c r="C132" s="1" t="inlineStr">
        <is>
          <t xml:space="preserve">9561550             </t>
        </is>
      </c>
      <c r="D132" s="1" t="inlineStr">
        <is>
          <t>1793</t>
        </is>
      </c>
      <c r="E132" s="1" t="inlineStr">
        <is>
          <t>Персона: роман. Жирардо М.</t>
        </is>
      </c>
      <c r="F132" s="13" t="inlineStr">
        <is>
          <t>См.обл.</t>
        </is>
      </c>
      <c r="G132" s="1" t="inlineStr">
        <is>
          <t>Жирардо М.</t>
        </is>
      </c>
      <c r="H132" s="1" t="inlineStr">
        <is>
          <t>60х90/16</t>
        </is>
      </c>
      <c r="I132" s="1" t="n">
        <v>448</v>
      </c>
      <c r="J132" s="1" t="inlineStr">
        <is>
          <t>РИПОЛ Классик</t>
        </is>
      </c>
      <c r="M132" s="1" t="inlineStr">
        <is>
          <t>2021</t>
        </is>
      </c>
      <c r="N132" s="1" t="inlineStr">
        <is>
          <t>П</t>
        </is>
      </c>
      <c r="O132" s="9" t="n">
        <v>8</v>
      </c>
      <c r="P132" s="1">
        <f>ROUNDUP(1300*(1-$F$3),2)</f>
        <v/>
      </c>
      <c r="Q132" s="1" t="inlineStr">
        <is>
          <t> </t>
        </is>
      </c>
      <c r="R132" s="1" t="inlineStr">
        <is>
          <t>978-5-386-13820-2</t>
        </is>
      </c>
      <c r="S132" s="1" t="inlineStr">
        <is>
          <t>9785386138202</t>
        </is>
      </c>
      <c r="T132" s="9" t="n">
        <v>10</v>
      </c>
      <c r="U132" s="1">
        <f>ROUNDUP(1181.82*(1-$F$3),2)</f>
        <v/>
      </c>
      <c r="V132" s="1" t="n">
        <v>503</v>
      </c>
      <c r="Y132" s="1" t="inlineStr">
        <is>
          <t>Персона: роман</t>
        </is>
      </c>
      <c r="Z132" s="1" t="inlineStr">
        <is>
          <t>18+</t>
        </is>
      </c>
      <c r="AA132" s="12" t="n">
        <v>44161</v>
      </c>
      <c r="AB132" s="1" t="inlineStr">
        <is>
          <t>Художественная литература</t>
        </is>
      </c>
      <c r="AC132" s="1" t="inlineStr">
        <is>
          <t>Детективы. Боевики. Триллеры</t>
        </is>
      </c>
      <c r="AD132" s="1" t="inlineStr">
        <is>
          <t>Зарубежный детектив</t>
        </is>
      </c>
      <c r="AE132" s="1" t="inlineStr">
        <is>
          <t>офсетная</t>
        </is>
      </c>
      <c r="AG132" s="1" t="n">
        <v>9561550</v>
      </c>
      <c r="AI132" s="1" t="inlineStr">
        <is>
          <t>4901990000</t>
        </is>
      </c>
      <c r="AJ132" s="1" t="inlineStr">
        <is>
          <t>Зпв</t>
        </is>
      </c>
    </row>
    <row r="133" customFormat="1" s="1">
      <c r="C133" s="1" t="inlineStr">
        <is>
          <t xml:space="preserve">9697770             </t>
        </is>
      </c>
      <c r="D133" s="1" t="inlineStr">
        <is>
          <t>1793</t>
        </is>
      </c>
      <c r="E133" s="1" t="inlineStr">
        <is>
          <t>Самария: роман. Нессер Х.</t>
        </is>
      </c>
      <c r="F133" s="13" t="inlineStr">
        <is>
          <t>См.обл.</t>
        </is>
      </c>
      <c r="G133" s="1" t="inlineStr">
        <is>
          <t>Нессер Х.</t>
        </is>
      </c>
      <c r="H133" s="1" t="inlineStr">
        <is>
          <t>60х90/16</t>
        </is>
      </c>
      <c r="I133" s="1" t="n">
        <v>224</v>
      </c>
      <c r="J133" s="1" t="inlineStr">
        <is>
          <t>РИПОЛ Классик</t>
        </is>
      </c>
      <c r="M133" s="1" t="inlineStr">
        <is>
          <t>2021</t>
        </is>
      </c>
      <c r="N133" s="1" t="inlineStr">
        <is>
          <t>П</t>
        </is>
      </c>
      <c r="O133" s="9" t="n">
        <v>18</v>
      </c>
      <c r="P133" s="1">
        <f>ROUNDUP(1070*(1-$F$3),2)</f>
        <v/>
      </c>
      <c r="Q133" s="1" t="inlineStr">
        <is>
          <t> </t>
        </is>
      </c>
      <c r="R133" s="1" t="inlineStr">
        <is>
          <t>978-5-386-14191-2</t>
        </is>
      </c>
      <c r="S133" s="1" t="inlineStr">
        <is>
          <t>9785386141912</t>
        </is>
      </c>
      <c r="T133" s="9" t="n">
        <v>10</v>
      </c>
      <c r="U133" s="1">
        <f>ROUNDUP(972.73*(1-$F$3),2)</f>
        <v/>
      </c>
      <c r="V133" s="1" t="n">
        <v>338</v>
      </c>
      <c r="Y133" s="1" t="inlineStr">
        <is>
          <t>Самария: роман</t>
        </is>
      </c>
      <c r="Z133" s="1" t="inlineStr">
        <is>
          <t>18+</t>
        </is>
      </c>
      <c r="AA133" s="12" t="n">
        <v>44343</v>
      </c>
      <c r="AB133" s="1" t="inlineStr">
        <is>
          <t>Художественная литература</t>
        </is>
      </c>
      <c r="AC133" s="1" t="inlineStr">
        <is>
          <t>Зарубежная литература</t>
        </is>
      </c>
      <c r="AD133" s="1" t="inlineStr">
        <is>
          <t>Европейская литература</t>
        </is>
      </c>
      <c r="AE133" s="1" t="inlineStr">
        <is>
          <t>офсетная</t>
        </is>
      </c>
      <c r="AG133" s="1" t="n">
        <v>9697770</v>
      </c>
      <c r="AI133" s="1" t="inlineStr">
        <is>
          <t>4901990000</t>
        </is>
      </c>
      <c r="AJ133" s="1" t="inlineStr">
        <is>
          <t>Зпв</t>
        </is>
      </c>
    </row>
    <row r="134" customFormat="1" s="1">
      <c r="C134" s="1" t="inlineStr">
        <is>
          <t xml:space="preserve">9704030             </t>
        </is>
      </c>
      <c r="D134" s="1" t="inlineStr">
        <is>
          <t>1793</t>
        </is>
      </c>
      <c r="E134" s="1" t="inlineStr">
        <is>
          <t>Смерть автора. Нессер Х.</t>
        </is>
      </c>
      <c r="F134" s="13" t="inlineStr">
        <is>
          <t>См.обл.</t>
        </is>
      </c>
      <c r="G134" s="1" t="inlineStr">
        <is>
          <t>Нессер Х.</t>
        </is>
      </c>
      <c r="H134" s="1" t="inlineStr">
        <is>
          <t>60х90/16</t>
        </is>
      </c>
      <c r="I134" s="1" t="n">
        <v>310</v>
      </c>
      <c r="J134" s="1" t="inlineStr">
        <is>
          <t>РИПОЛ Классик</t>
        </is>
      </c>
      <c r="M134" s="1" t="inlineStr">
        <is>
          <t>2021</t>
        </is>
      </c>
      <c r="N134" s="1" t="inlineStr">
        <is>
          <t>П</t>
        </is>
      </c>
      <c r="O134" s="9" t="n">
        <v>10</v>
      </c>
      <c r="P134" s="1">
        <f>ROUNDUP(1150*(1-$F$3),2)</f>
        <v/>
      </c>
      <c r="Q134" s="1" t="inlineStr">
        <is>
          <t> </t>
        </is>
      </c>
      <c r="R134" s="1" t="inlineStr">
        <is>
          <t>978-5-386-14259-9</t>
        </is>
      </c>
      <c r="S134" s="1" t="inlineStr">
        <is>
          <t>9785386142599</t>
        </is>
      </c>
      <c r="T134" s="9" t="n">
        <v>10</v>
      </c>
      <c r="U134" s="1">
        <f>ROUNDUP(1045.45*(1-$F$3),2)</f>
        <v/>
      </c>
      <c r="V134" s="1" t="n">
        <v>428</v>
      </c>
      <c r="Y134" s="1" t="inlineStr">
        <is>
          <t>Смерть автора</t>
        </is>
      </c>
      <c r="Z134" s="1" t="inlineStr">
        <is>
          <t>18+</t>
        </is>
      </c>
      <c r="AA134" s="12" t="n">
        <v>44341</v>
      </c>
      <c r="AB134" s="1" t="inlineStr">
        <is>
          <t>Художественная литература</t>
        </is>
      </c>
      <c r="AC134" s="1" t="inlineStr">
        <is>
          <t>Зарубежная литература</t>
        </is>
      </c>
      <c r="AD134" s="1" t="inlineStr">
        <is>
          <t>Европейская литература</t>
        </is>
      </c>
      <c r="AE134" s="1" t="inlineStr">
        <is>
          <t>офсетная</t>
        </is>
      </c>
      <c r="AG134" s="1" t="n">
        <v>9704030</v>
      </c>
      <c r="AI134" s="1" t="inlineStr">
        <is>
          <t>4901990000</t>
        </is>
      </c>
    </row>
    <row r="135" customFormat="1" s="1">
      <c r="C135" s="1" t="inlineStr">
        <is>
          <t xml:space="preserve">9628990             </t>
        </is>
      </c>
      <c r="D135" s="1" t="inlineStr">
        <is>
          <t>1793</t>
        </is>
      </c>
      <c r="E135" s="1" t="inlineStr">
        <is>
          <t>Темная земля: роман. Макбрайд С.</t>
        </is>
      </c>
      <c r="F135" s="13" t="inlineStr">
        <is>
          <t>См.обл.</t>
        </is>
      </c>
      <c r="G135" s="1" t="inlineStr">
        <is>
          <t>Макбрайд С.</t>
        </is>
      </c>
      <c r="H135" s="1" t="inlineStr">
        <is>
          <t>60х90/16</t>
        </is>
      </c>
      <c r="I135" s="1" t="n">
        <v>512</v>
      </c>
      <c r="J135" s="1" t="inlineStr">
        <is>
          <t>РИПОЛ Классик</t>
        </is>
      </c>
      <c r="M135" s="1" t="inlineStr">
        <is>
          <t>2021</t>
        </is>
      </c>
      <c r="N135" s="1" t="inlineStr">
        <is>
          <t>П</t>
        </is>
      </c>
      <c r="O135" s="9" t="n">
        <v>8</v>
      </c>
      <c r="P135" s="1">
        <f>ROUNDUP(1390*(1-$F$3),2)</f>
        <v/>
      </c>
      <c r="Q135" s="1" t="inlineStr">
        <is>
          <t> </t>
        </is>
      </c>
      <c r="R135" s="1" t="inlineStr">
        <is>
          <t>978-5-386-14011-3</t>
        </is>
      </c>
      <c r="S135" s="1" t="inlineStr">
        <is>
          <t>9785386140113</t>
        </is>
      </c>
      <c r="T135" s="9" t="n">
        <v>10</v>
      </c>
      <c r="U135" s="1">
        <f>ROUNDUP(1263.64*(1-$F$3),2)</f>
        <v/>
      </c>
      <c r="V135" s="1" t="n">
        <v>638</v>
      </c>
      <c r="Y135" s="1" t="inlineStr">
        <is>
          <t>Темная земля: роман</t>
        </is>
      </c>
      <c r="Z135" s="1" t="inlineStr">
        <is>
          <t>18+</t>
        </is>
      </c>
      <c r="AA135" s="12" t="n">
        <v>44245</v>
      </c>
      <c r="AB135" s="1" t="inlineStr">
        <is>
          <t>Художественная литература</t>
        </is>
      </c>
      <c r="AC135" s="1" t="inlineStr">
        <is>
          <t>Детективы. Боевики. Триллеры</t>
        </is>
      </c>
      <c r="AD135" s="1" t="inlineStr">
        <is>
          <t>Зарубежный детектив</t>
        </is>
      </c>
      <c r="AE135" s="1" t="inlineStr">
        <is>
          <t>офсетная</t>
        </is>
      </c>
      <c r="AG135" s="1" t="n">
        <v>9628990</v>
      </c>
      <c r="AI135" s="1" t="inlineStr">
        <is>
          <t>4901990000</t>
        </is>
      </c>
      <c r="AJ135" s="1" t="inlineStr">
        <is>
          <t>Зпв</t>
        </is>
      </c>
    </row>
    <row r="136" customFormat="1" s="1">
      <c r="C136" s="1" t="inlineStr">
        <is>
          <t>11030910</t>
        </is>
      </c>
      <c r="D136" s="1" t="inlineStr">
        <is>
          <t>3 по цене 2-х</t>
        </is>
      </c>
      <c r="E136" s="1" t="inlineStr">
        <is>
          <t>Бархатная ночь. Мировые бестселлеры (комплект из 3-х книг). Морено-Гарсиа С., Чайлдс Дж.</t>
        </is>
      </c>
      <c r="F136" s="13" t="inlineStr">
        <is>
          <t>См.обл.</t>
        </is>
      </c>
      <c r="G136" s="1" t="inlineStr">
        <is>
          <t>Морено-Гарсиа С., Чайлдс Дж.</t>
        </is>
      </c>
      <c r="H136" s="1" t="inlineStr">
        <is>
          <t>60х90/16</t>
        </is>
      </c>
      <c r="I136" s="1" t="n">
        <v>1056</v>
      </c>
      <c r="J136" s="1" t="inlineStr">
        <is>
          <t>РИПОЛ Классик</t>
        </is>
      </c>
      <c r="M136" s="1" t="inlineStr">
        <is>
          <t>2023</t>
        </is>
      </c>
      <c r="N136" s="1" t="inlineStr">
        <is>
          <t>П</t>
        </is>
      </c>
      <c r="O136" s="9" t="n"/>
      <c r="P136" s="1">
        <f>ROUNDUP(1290*(1-$F$3),2)</f>
        <v/>
      </c>
      <c r="Q136" s="1" t="inlineStr">
        <is>
          <t> </t>
        </is>
      </c>
      <c r="R136" s="1" t="inlineStr">
        <is>
          <t>978-5-521-80668-3</t>
        </is>
      </c>
      <c r="S136" s="1" t="inlineStr">
        <is>
          <t>9785521806683</t>
        </is>
      </c>
      <c r="T136" s="9" t="n">
        <v>10</v>
      </c>
      <c r="U136" s="1">
        <f>ROUNDUP(1172.73*(1-$F$3),2)</f>
        <v/>
      </c>
      <c r="V136" s="1" t="n">
        <v>1271</v>
      </c>
      <c r="Y136" s="1" t="inlineStr">
        <is>
          <t>Бархатная ночь. Мировые бестселлеры (комплект из 3-х книг)</t>
        </is>
      </c>
      <c r="Z136" s="1" t="inlineStr">
        <is>
          <t>16+</t>
        </is>
      </c>
      <c r="AA136" s="12" t="n">
        <v>45145</v>
      </c>
      <c r="AB136" s="1" t="inlineStr">
        <is>
          <t>Художественная литература</t>
        </is>
      </c>
      <c r="AC136" s="1" t="inlineStr">
        <is>
          <t>Зарубежная литература</t>
        </is>
      </c>
      <c r="AD136" s="1" t="inlineStr">
        <is>
          <t>Мировая проза и поэзия. Сборники</t>
        </is>
      </c>
      <c r="AE136" s="1" t="inlineStr">
        <is>
          <t>офсетная</t>
        </is>
      </c>
      <c r="AG136" s="1" t="n">
        <v>11030910</v>
      </c>
      <c r="AI136" s="1" t="inlineStr">
        <is>
          <t>4901990000</t>
        </is>
      </c>
    </row>
    <row r="137" customFormat="1" s="1">
      <c r="C137" s="1" t="inlineStr">
        <is>
          <t>11030760</t>
        </is>
      </c>
      <c r="D137" s="1" t="inlineStr">
        <is>
          <t>3 по цене 2-х</t>
        </is>
      </c>
      <c r="E137" s="1" t="inlineStr">
        <is>
          <t>Кошмары и хоррор (комплект из 3-х книг). Лавкрафт Г.Ф., Херли Э.М., Эверс Х.Х</t>
        </is>
      </c>
      <c r="F137" s="13" t="inlineStr">
        <is>
          <t>См.обл.</t>
        </is>
      </c>
      <c r="G137" s="1" t="inlineStr">
        <is>
          <t>Лавкрафт Г.Ф., Херли Э.М., Эверс Х.Х</t>
        </is>
      </c>
      <c r="H137" s="1" t="inlineStr">
        <is>
          <t>84х108/32</t>
        </is>
      </c>
      <c r="I137" s="1" t="n">
        <v>1136</v>
      </c>
      <c r="J137" s="1" t="inlineStr">
        <is>
          <t>РИПОЛ Классик</t>
        </is>
      </c>
      <c r="M137" s="1" t="inlineStr">
        <is>
          <t>2023</t>
        </is>
      </c>
      <c r="N137" s="1" t="inlineStr">
        <is>
          <t>П</t>
        </is>
      </c>
      <c r="O137" s="9" t="n"/>
      <c r="P137" s="1">
        <f>ROUNDUP(3190*(1-$F$3),2)</f>
        <v/>
      </c>
      <c r="Q137" s="1" t="inlineStr">
        <is>
          <t> </t>
        </is>
      </c>
      <c r="R137" s="1" t="inlineStr">
        <is>
          <t>978-5-521-80659-1</t>
        </is>
      </c>
      <c r="S137" s="1" t="inlineStr">
        <is>
          <t>9785521806591</t>
        </is>
      </c>
      <c r="T137" s="9" t="n">
        <v>10</v>
      </c>
      <c r="U137" s="1">
        <f>ROUNDUP(2900*(1-$F$3),2)</f>
        <v/>
      </c>
      <c r="V137" s="1" t="n">
        <v>1308</v>
      </c>
      <c r="Y137" s="1" t="inlineStr">
        <is>
          <t>Кошмары и хоррор (комплект из 3-х книг)</t>
        </is>
      </c>
      <c r="Z137" s="1" t="inlineStr">
        <is>
          <t>18+</t>
        </is>
      </c>
      <c r="AA137" s="12" t="n">
        <v>45142</v>
      </c>
      <c r="AB137" s="1" t="inlineStr">
        <is>
          <t>Художественная литература</t>
        </is>
      </c>
      <c r="AC137" s="1" t="inlineStr">
        <is>
          <t>Фантастика. Мистика. Ужасы</t>
        </is>
      </c>
      <c r="AD137" s="1" t="inlineStr">
        <is>
          <t>Мистика. Ужасы</t>
        </is>
      </c>
      <c r="AE137" s="1" t="inlineStr">
        <is>
          <t>офсетная</t>
        </is>
      </c>
      <c r="AG137" s="1" t="n">
        <v>11030760</v>
      </c>
      <c r="AI137" s="1" t="inlineStr">
        <is>
          <t>4901990000</t>
        </is>
      </c>
    </row>
    <row r="138" customFormat="1" s="1">
      <c r="C138" s="1" t="inlineStr">
        <is>
          <t>11030770</t>
        </is>
      </c>
      <c r="D138" s="1" t="inlineStr">
        <is>
          <t>3 по цене 2-х</t>
        </is>
      </c>
      <c r="E138" s="1" t="inlineStr">
        <is>
          <t>Олег Рой. Ловушка жизни (комплект из 3-х книг). Рой О.Ю.</t>
        </is>
      </c>
      <c r="F138" s="13" t="inlineStr">
        <is>
          <t>См.обл.</t>
        </is>
      </c>
      <c r="G138" s="1" t="inlineStr">
        <is>
          <t>Рой О.Ю.</t>
        </is>
      </c>
      <c r="H138" s="1" t="inlineStr">
        <is>
          <t>60х90/16</t>
        </is>
      </c>
      <c r="I138" s="1" t="n">
        <v>928</v>
      </c>
      <c r="J138" s="1" t="inlineStr">
        <is>
          <t>РИПОЛ Классик</t>
        </is>
      </c>
      <c r="M138" s="1" t="inlineStr">
        <is>
          <t>2023</t>
        </is>
      </c>
      <c r="N138" s="1" t="inlineStr">
        <is>
          <t>П</t>
        </is>
      </c>
      <c r="O138" s="9" t="n"/>
      <c r="P138" s="1">
        <f>ROUNDUP(3790*(1-$F$3),2)</f>
        <v/>
      </c>
      <c r="Q138" s="1" t="inlineStr">
        <is>
          <t> </t>
        </is>
      </c>
      <c r="R138" s="1" t="inlineStr">
        <is>
          <t>978-5-521-80660-7</t>
        </is>
      </c>
      <c r="S138" s="1" t="inlineStr">
        <is>
          <t>9785521806607</t>
        </is>
      </c>
      <c r="T138" s="9" t="n">
        <v>10</v>
      </c>
      <c r="U138" s="1">
        <f>ROUNDUP(3445.45*(1-$F$3),2)</f>
        <v/>
      </c>
      <c r="V138" s="1" t="n">
        <v>1435</v>
      </c>
      <c r="Y138" s="1" t="inlineStr">
        <is>
          <t>Олег Рой. Ловушка жизни (комплект из 3-х книг)</t>
        </is>
      </c>
      <c r="Z138" s="1" t="inlineStr">
        <is>
          <t>16+</t>
        </is>
      </c>
      <c r="AA138" s="12" t="n">
        <v>45142</v>
      </c>
      <c r="AB138" s="1" t="inlineStr">
        <is>
          <t>Художественная литература</t>
        </is>
      </c>
      <c r="AC138" s="1" t="inlineStr">
        <is>
          <t>Русская литература</t>
        </is>
      </c>
      <c r="AD138" s="1" t="inlineStr">
        <is>
          <t>Современная литература</t>
        </is>
      </c>
      <c r="AE138" s="1" t="inlineStr">
        <is>
          <t>офсетная</t>
        </is>
      </c>
      <c r="AG138" s="1" t="n">
        <v>11030770</v>
      </c>
      <c r="AI138" s="1" t="inlineStr">
        <is>
          <t>4901990000</t>
        </is>
      </c>
    </row>
    <row r="139" customFormat="1" s="1">
      <c r="C139" s="1" t="inlineStr">
        <is>
          <t>11030800</t>
        </is>
      </c>
      <c r="D139" s="1" t="inlineStr">
        <is>
          <t>3 по цене 2-х</t>
        </is>
      </c>
      <c r="E139" s="1" t="inlineStr">
        <is>
          <t>Хиты исторического детектива. Вып. 2 (комплект из 3-х книг). Питерс Э</t>
        </is>
      </c>
      <c r="F139" s="13" t="inlineStr">
        <is>
          <t>См.обл.</t>
        </is>
      </c>
      <c r="G139" s="1" t="inlineStr">
        <is>
          <t>Питерс Э</t>
        </is>
      </c>
      <c r="H139" s="1" t="inlineStr">
        <is>
          <t>84х108/32</t>
        </is>
      </c>
      <c r="I139" s="1" t="n">
        <v>754</v>
      </c>
      <c r="J139" s="1" t="inlineStr">
        <is>
          <t>РИПОЛ Классик</t>
        </is>
      </c>
      <c r="M139" s="1" t="inlineStr">
        <is>
          <t>2023</t>
        </is>
      </c>
      <c r="N139" s="1" t="inlineStr">
        <is>
          <t>П</t>
        </is>
      </c>
      <c r="O139" s="9" t="n"/>
      <c r="P139" s="1">
        <f>ROUNDUP(1290*(1-$F$3),2)</f>
        <v/>
      </c>
      <c r="Q139" s="1" t="inlineStr">
        <is>
          <t> </t>
        </is>
      </c>
      <c r="R139" s="1" t="inlineStr">
        <is>
          <t>978-5-521-80663-8</t>
        </is>
      </c>
      <c r="S139" s="1" t="inlineStr">
        <is>
          <t>9785521806638</t>
        </is>
      </c>
      <c r="T139" s="9" t="n">
        <v>10</v>
      </c>
      <c r="U139" s="1">
        <f>ROUNDUP(1172.73*(1-$F$3),2)</f>
        <v/>
      </c>
      <c r="V139" s="1" t="n">
        <v>856</v>
      </c>
      <c r="Y139" s="1" t="inlineStr">
        <is>
          <t>Хиты исторического детектива. Вып. 2 (комплект из 3-х книг)</t>
        </is>
      </c>
      <c r="Z139" s="1" t="inlineStr">
        <is>
          <t>12+</t>
        </is>
      </c>
      <c r="AA139" s="12" t="n">
        <v>45142</v>
      </c>
      <c r="AB139" s="1" t="inlineStr">
        <is>
          <t>Художественная литература</t>
        </is>
      </c>
      <c r="AC139" s="1" t="inlineStr">
        <is>
          <t>Детективы. Боевики. Триллеры</t>
        </is>
      </c>
      <c r="AD139" s="1" t="inlineStr">
        <is>
          <t>Зарубежный детектив</t>
        </is>
      </c>
      <c r="AE139" s="1" t="inlineStr">
        <is>
          <t>офсетная</t>
        </is>
      </c>
      <c r="AG139" s="1" t="n">
        <v>11030800</v>
      </c>
      <c r="AI139" s="1" t="inlineStr">
        <is>
          <t>4901990000</t>
        </is>
      </c>
    </row>
    <row r="140" customFormat="1" s="1">
      <c r="C140" s="1" t="inlineStr">
        <is>
          <t>11030880</t>
        </is>
      </c>
      <c r="D140" s="1" t="inlineStr">
        <is>
          <t>3 по цене 2-х</t>
        </is>
      </c>
      <c r="E140" s="1" t="inlineStr">
        <is>
          <t>Хиты мирового триллера. Вып. 2 (комплект из 3-х книг). Чан Хо-Кей, Хантер М., Мэй Л.</t>
        </is>
      </c>
      <c r="F140" s="13" t="inlineStr">
        <is>
          <t>См.обл.</t>
        </is>
      </c>
      <c r="G140" s="1" t="inlineStr">
        <is>
          <t>Чан Хо-Кей, Хантер М., Мэй Л.</t>
        </is>
      </c>
      <c r="H140" s="1" t="inlineStr">
        <is>
          <t>84х108/32</t>
        </is>
      </c>
      <c r="I140" s="1" t="n">
        <v>1168</v>
      </c>
      <c r="J140" s="1" t="inlineStr">
        <is>
          <t>РИПОЛ Классик</t>
        </is>
      </c>
      <c r="M140" s="1" t="inlineStr">
        <is>
          <t>2023</t>
        </is>
      </c>
      <c r="N140" s="1" t="inlineStr">
        <is>
          <t>П</t>
        </is>
      </c>
      <c r="O140" s="9" t="n"/>
      <c r="P140" s="1">
        <f>ROUNDUP(1999*(1-$F$3),2)</f>
        <v/>
      </c>
      <c r="Q140" s="1" t="inlineStr">
        <is>
          <t> </t>
        </is>
      </c>
      <c r="R140" s="1" t="inlineStr">
        <is>
          <t>978-5-521-80666-9</t>
        </is>
      </c>
      <c r="S140" s="1" t="inlineStr">
        <is>
          <t>9785521806669</t>
        </is>
      </c>
      <c r="T140" s="9" t="n">
        <v>22</v>
      </c>
      <c r="U140" s="1">
        <f>ROUNDUP(1638.52*(1-$F$3),2)</f>
        <v/>
      </c>
      <c r="V140" s="1" t="n">
        <v>1361</v>
      </c>
      <c r="Y140" s="1" t="inlineStr">
        <is>
          <t>Хиты мирового триллера. Вып. 2 (комплект из 3-х книг)</t>
        </is>
      </c>
      <c r="Z140" s="1" t="inlineStr">
        <is>
          <t>18+</t>
        </is>
      </c>
      <c r="AA140" s="12" t="n">
        <v>45145</v>
      </c>
      <c r="AB140" s="1" t="inlineStr">
        <is>
          <t>Художественная литература</t>
        </is>
      </c>
      <c r="AC140" s="1" t="inlineStr">
        <is>
          <t>Зарубежная литература</t>
        </is>
      </c>
      <c r="AD140" s="1" t="inlineStr">
        <is>
          <t>Мировая проза и поэзия. Сборники</t>
        </is>
      </c>
      <c r="AE140" s="1" t="inlineStr">
        <is>
          <t>офсетная</t>
        </is>
      </c>
      <c r="AG140" s="1" t="n">
        <v>11030880</v>
      </c>
      <c r="AI140" s="1" t="inlineStr">
        <is>
          <t>4901990000</t>
        </is>
      </c>
    </row>
    <row r="141" customFormat="1" s="1">
      <c r="C141" s="1" t="inlineStr">
        <is>
          <t xml:space="preserve">9422720             </t>
        </is>
      </c>
      <c r="D141" s="1" t="inlineStr">
        <is>
          <t>Art of Life</t>
        </is>
      </c>
      <c r="E141" s="1" t="inlineStr">
        <is>
          <t>Под открытым небом. Как жить в гармонии с природой. Торгебю М.</t>
        </is>
      </c>
      <c r="F141" s="13" t="inlineStr">
        <is>
          <t>См.обл.</t>
        </is>
      </c>
      <c r="G141" s="1" t="inlineStr">
        <is>
          <t>Торгебю М.</t>
        </is>
      </c>
      <c r="H141" s="1" t="inlineStr">
        <is>
          <t>60х90/16</t>
        </is>
      </c>
      <c r="I141" s="1" t="n">
        <v>192</v>
      </c>
      <c r="J141" s="1" t="inlineStr">
        <is>
          <t>РИПОЛ Классик</t>
        </is>
      </c>
      <c r="M141" s="1" t="inlineStr">
        <is>
          <t>2020</t>
        </is>
      </c>
      <c r="N141" s="1" t="inlineStr">
        <is>
          <t>П</t>
        </is>
      </c>
      <c r="O141" s="9" t="n">
        <v>8</v>
      </c>
      <c r="P141" s="1">
        <f>ROUNDUP(1920*(1-$F$3),2)</f>
        <v/>
      </c>
      <c r="Q141" s="1" t="inlineStr">
        <is>
          <t> </t>
        </is>
      </c>
      <c r="R141" s="1" t="inlineStr">
        <is>
          <t>978-5-386-13710-6</t>
        </is>
      </c>
      <c r="S141" s="1" t="inlineStr">
        <is>
          <t>9785386137106</t>
        </is>
      </c>
      <c r="T141" s="9" t="n">
        <v>10</v>
      </c>
      <c r="U141" s="1">
        <f>ROUNDUP(1745.45*(1-$F$3),2)</f>
        <v/>
      </c>
      <c r="V141" s="1" t="n">
        <v>509</v>
      </c>
      <c r="Y141" s="1" t="inlineStr">
        <is>
          <t>Под открытым небом. Как жить в гармонии с природой</t>
        </is>
      </c>
      <c r="Z141" s="1" t="inlineStr">
        <is>
          <t>16+</t>
        </is>
      </c>
      <c r="AA141" s="12" t="n">
        <v>44034</v>
      </c>
      <c r="AB141" s="1" t="inlineStr">
        <is>
          <t>Гуманитарные науки</t>
        </is>
      </c>
      <c r="AC141" s="1" t="inlineStr">
        <is>
          <t>Психология</t>
        </is>
      </c>
      <c r="AD141" s="1" t="inlineStr">
        <is>
          <t>Социальная психология. Психология отношений. Коммуникации</t>
        </is>
      </c>
      <c r="AE141" s="1" t="inlineStr">
        <is>
          <t>офсетная</t>
        </is>
      </c>
      <c r="AG141" s="1" t="n">
        <v>9422720</v>
      </c>
      <c r="AI141" s="1" t="inlineStr">
        <is>
          <t>4901990000</t>
        </is>
      </c>
    </row>
    <row r="142" customFormat="1" s="1">
      <c r="C142" s="1" t="inlineStr">
        <is>
          <t xml:space="preserve">10482760            </t>
        </is>
      </c>
      <c r="D142" s="1" t="inlineStr">
        <is>
          <t>Best New York Times mini</t>
        </is>
      </c>
      <c r="E142" s="1" t="inlineStr">
        <is>
          <t>Город женщин: роман. Гилберт Э.</t>
        </is>
      </c>
      <c r="F142" s="13" t="inlineStr">
        <is>
          <t>См.обл.</t>
        </is>
      </c>
      <c r="G142" s="1" t="inlineStr">
        <is>
          <t>Гилберт Э.</t>
        </is>
      </c>
      <c r="H142" s="1" t="inlineStr">
        <is>
          <t>76х100/32</t>
        </is>
      </c>
      <c r="I142" s="1" t="n">
        <v>464</v>
      </c>
      <c r="J142" s="1" t="inlineStr">
        <is>
          <t>РИПОЛ Классик</t>
        </is>
      </c>
      <c r="M142" s="1" t="inlineStr">
        <is>
          <t>2025</t>
        </is>
      </c>
      <c r="N142" s="1" t="inlineStr">
        <is>
          <t>О</t>
        </is>
      </c>
      <c r="O142" s="9" t="n">
        <v>16</v>
      </c>
      <c r="P142" s="1">
        <f>ROUNDUP(630*(1-$F$3),2)</f>
        <v/>
      </c>
      <c r="Q142" s="1" t="inlineStr">
        <is>
          <t> </t>
        </is>
      </c>
      <c r="R142" s="1" t="inlineStr">
        <is>
          <t>978-5-386-14818-8</t>
        </is>
      </c>
      <c r="S142" s="1" t="inlineStr">
        <is>
          <t>9785386148188</t>
        </is>
      </c>
      <c r="T142" s="9" t="n">
        <v>10</v>
      </c>
      <c r="U142" s="1">
        <f>ROUNDUP(572.73*(1-$F$3),2)</f>
        <v/>
      </c>
      <c r="V142" s="1" t="n">
        <v>233</v>
      </c>
      <c r="Y142" s="1" t="inlineStr">
        <is>
          <t>Город женщин: роман</t>
        </is>
      </c>
      <c r="Z142" s="1" t="inlineStr">
        <is>
          <t>18+</t>
        </is>
      </c>
      <c r="AA142" s="12" t="n">
        <v>44769</v>
      </c>
      <c r="AB142" s="1" t="inlineStr">
        <is>
          <t>Художественная литература</t>
        </is>
      </c>
      <c r="AC142" s="1" t="inlineStr">
        <is>
          <t>Зарубежная литература</t>
        </is>
      </c>
      <c r="AD142" s="1" t="inlineStr">
        <is>
          <t>Литература Америки и Австралии</t>
        </is>
      </c>
      <c r="AE142" s="1" t="inlineStr">
        <is>
          <t>офсетная</t>
        </is>
      </c>
      <c r="AG142" s="1" t="n">
        <v>10482760</v>
      </c>
      <c r="AI142" s="1" t="inlineStr">
        <is>
          <t>4901990000</t>
        </is>
      </c>
    </row>
    <row r="143" customFormat="1" s="1">
      <c r="C143" s="1" t="inlineStr">
        <is>
          <t>11680490</t>
        </is>
      </c>
      <c r="D143" s="1" t="inlineStr">
        <is>
          <t>Best New York Times mini</t>
        </is>
      </c>
      <c r="E143" s="1" t="inlineStr">
        <is>
          <t>Город женщин; Барбизон. В отеле только девушки (комплект из 2-х книг). Гилберт Э., Брен П.</t>
        </is>
      </c>
      <c r="F143" s="13" t="inlineStr">
        <is>
          <t>См.обл.</t>
        </is>
      </c>
      <c r="G143" s="1" t="inlineStr">
        <is>
          <t>Гилберт Э., Брен П.</t>
        </is>
      </c>
      <c r="H143" s="1" t="inlineStr">
        <is>
          <t>76х100/32</t>
        </is>
      </c>
      <c r="I143" s="1" t="n">
        <v>896</v>
      </c>
      <c r="J143" s="1" t="inlineStr">
        <is>
          <t>РИПОЛ Классик</t>
        </is>
      </c>
      <c r="M143" s="1" t="inlineStr">
        <is>
          <t>2025</t>
        </is>
      </c>
      <c r="N143" s="1" t="inlineStr">
        <is>
          <t>П</t>
        </is>
      </c>
      <c r="O143" s="9" t="n"/>
      <c r="P143" s="1">
        <f>ROUNDUP(2140*(1-$F$3),2)</f>
        <v/>
      </c>
      <c r="Q143" s="1" t="inlineStr">
        <is>
          <t> </t>
        </is>
      </c>
      <c r="R143" s="1" t="inlineStr">
        <is>
          <t>978-5-521-84800-3</t>
        </is>
      </c>
      <c r="S143" s="1" t="inlineStr">
        <is>
          <t>9785521848003</t>
        </is>
      </c>
      <c r="T143" s="9" t="n">
        <v>10</v>
      </c>
      <c r="U143" s="1">
        <f>ROUNDUP(1945.45*(1-$F$3),2)</f>
        <v/>
      </c>
      <c r="V143" s="1" t="n">
        <v>1063</v>
      </c>
      <c r="Y143" s="1" t="inlineStr">
        <is>
          <t>Город женщин; Барбизон. В отеле только девушки (комплект из 2-х книг)</t>
        </is>
      </c>
      <c r="Z143" s="1" t="inlineStr">
        <is>
          <t>18+</t>
        </is>
      </c>
      <c r="AA143" s="12" t="n">
        <v>45721</v>
      </c>
      <c r="AB143" s="1" t="inlineStr">
        <is>
          <t>Художественная литература</t>
        </is>
      </c>
      <c r="AC143" s="1" t="inlineStr">
        <is>
          <t>Зарубежная литература</t>
        </is>
      </c>
      <c r="AD143" s="1" t="inlineStr">
        <is>
          <t>Литература Америки и Австралии</t>
        </is>
      </c>
      <c r="AE143" s="1" t="inlineStr">
        <is>
          <t>офсетная</t>
        </is>
      </c>
      <c r="AG143" s="1" t="n">
        <v>11680490</v>
      </c>
      <c r="AI143" s="1" t="inlineStr">
        <is>
          <t>4901990000</t>
        </is>
      </c>
    </row>
    <row r="144" customFormat="1" s="1">
      <c r="C144" s="1" t="inlineStr">
        <is>
          <t xml:space="preserve">10483360            </t>
        </is>
      </c>
      <c r="D144" s="1" t="inlineStr">
        <is>
          <t>Best New York Times mini</t>
        </is>
      </c>
      <c r="E144" s="1" t="inlineStr">
        <is>
          <t>Самая лучшая жена. Гилберт Э.</t>
        </is>
      </c>
      <c r="F144" s="13" t="inlineStr">
        <is>
          <t>См.обл.</t>
        </is>
      </c>
      <c r="G144" s="1" t="inlineStr">
        <is>
          <t>Гилберт Э.</t>
        </is>
      </c>
      <c r="H144" s="1" t="inlineStr">
        <is>
          <t>76х100/32</t>
        </is>
      </c>
      <c r="I144" s="1" t="n">
        <v>288</v>
      </c>
      <c r="J144" s="1" t="inlineStr">
        <is>
          <t>РИПОЛ Классик</t>
        </is>
      </c>
      <c r="M144" s="1" t="inlineStr">
        <is>
          <t>2022</t>
        </is>
      </c>
      <c r="N144" s="1" t="inlineStr">
        <is>
          <t>О</t>
        </is>
      </c>
      <c r="O144" s="9" t="n">
        <v>11</v>
      </c>
      <c r="P144" s="1">
        <f>ROUNDUP(550*(1-$F$3),2)</f>
        <v/>
      </c>
      <c r="Q144" s="1" t="inlineStr">
        <is>
          <t> </t>
        </is>
      </c>
      <c r="R144" s="1" t="inlineStr">
        <is>
          <t>978-5-386-14819-5</t>
        </is>
      </c>
      <c r="S144" s="1" t="inlineStr">
        <is>
          <t>9785386148195</t>
        </is>
      </c>
      <c r="T144" s="9" t="n">
        <v>10</v>
      </c>
      <c r="U144" s="1">
        <f>ROUNDUP(500*(1-$F$3),2)</f>
        <v/>
      </c>
      <c r="V144" s="1" t="n">
        <v>147</v>
      </c>
      <c r="Y144" s="1" t="inlineStr">
        <is>
          <t>Самая лучшая жена</t>
        </is>
      </c>
      <c r="Z144" s="1" t="inlineStr">
        <is>
          <t>16+</t>
        </is>
      </c>
      <c r="AA144" s="12" t="n">
        <v>44769</v>
      </c>
      <c r="AB144" s="1" t="inlineStr">
        <is>
          <t>Художественная литература</t>
        </is>
      </c>
      <c r="AC144" s="1" t="inlineStr">
        <is>
          <t>Зарубежная литература</t>
        </is>
      </c>
      <c r="AD144" s="1" t="inlineStr">
        <is>
          <t>Литература Америки и Австралии</t>
        </is>
      </c>
      <c r="AE144" s="1" t="inlineStr">
        <is>
          <t>офсетная</t>
        </is>
      </c>
      <c r="AG144" s="1" t="n">
        <v>10483360</v>
      </c>
      <c r="AI144" s="1" t="inlineStr">
        <is>
          <t>4901990000</t>
        </is>
      </c>
    </row>
    <row r="145" customFormat="1" s="1">
      <c r="C145" s="1" t="inlineStr">
        <is>
          <t xml:space="preserve">11388370            </t>
        </is>
      </c>
      <c r="D145" s="1" t="inlineStr">
        <is>
          <t>Best-Thriller</t>
        </is>
      </c>
      <c r="E145" s="1" t="inlineStr">
        <is>
          <t>21 день до моей смерти. Гелдер А.-К.</t>
        </is>
      </c>
      <c r="F145" s="13" t="inlineStr">
        <is>
          <t>См.обл.</t>
        </is>
      </c>
      <c r="G145" s="1" t="inlineStr">
        <is>
          <t>Гелдер А.-К.</t>
        </is>
      </c>
      <c r="H145" s="1" t="inlineStr">
        <is>
          <t>60х90/16</t>
        </is>
      </c>
      <c r="I145" s="1" t="n">
        <v>304</v>
      </c>
      <c r="J145" s="1" t="inlineStr">
        <is>
          <t>РИПОЛ Классик</t>
        </is>
      </c>
      <c r="M145" s="1" t="inlineStr">
        <is>
          <t>2025</t>
        </is>
      </c>
      <c r="N145" s="1" t="inlineStr">
        <is>
          <t>П</t>
        </is>
      </c>
      <c r="O145" s="9" t="n">
        <v>12</v>
      </c>
      <c r="P145" s="1">
        <f>ROUNDUP(1100*(1-$F$3),2)</f>
        <v/>
      </c>
      <c r="Q145" s="1" t="inlineStr">
        <is>
          <t> </t>
        </is>
      </c>
      <c r="R145" s="1" t="inlineStr">
        <is>
          <t>978-5-386-15113-3</t>
        </is>
      </c>
      <c r="S145" s="1" t="inlineStr">
        <is>
          <t>9785386151133</t>
        </is>
      </c>
      <c r="T145" s="9" t="n">
        <v>10</v>
      </c>
      <c r="U145" s="1">
        <f>ROUNDUP(1000*(1-$F$3),2)</f>
        <v/>
      </c>
      <c r="V145" s="1" t="n">
        <v>363</v>
      </c>
      <c r="Y145" s="1" t="inlineStr">
        <is>
          <t>21 день до моей смерти</t>
        </is>
      </c>
      <c r="Z145" s="1" t="inlineStr">
        <is>
          <t>16+</t>
        </is>
      </c>
      <c r="AA145" s="12" t="n">
        <v>45475</v>
      </c>
      <c r="AB145" s="1" t="inlineStr">
        <is>
          <t>Художественная литература</t>
        </is>
      </c>
      <c r="AC145" s="1" t="inlineStr">
        <is>
          <t>Детективы. Боевики. Триллеры</t>
        </is>
      </c>
      <c r="AD145" s="1" t="inlineStr">
        <is>
          <t>Триллеры</t>
        </is>
      </c>
      <c r="AE145" s="1" t="inlineStr">
        <is>
          <t>офсетная</t>
        </is>
      </c>
      <c r="AG145" s="1" t="n">
        <v>11388370</v>
      </c>
      <c r="AI145" s="1" t="inlineStr">
        <is>
          <t>4901990000</t>
        </is>
      </c>
    </row>
    <row r="146" customFormat="1" s="1">
      <c r="C146" s="1" t="inlineStr">
        <is>
          <t xml:space="preserve">10484680            </t>
        </is>
      </c>
      <c r="D146" s="1" t="inlineStr">
        <is>
          <t>Best-Thriller</t>
        </is>
      </c>
      <c r="E146" s="1" t="inlineStr">
        <is>
          <t>Они делали плохие вещи. Форри Л.А.</t>
        </is>
      </c>
      <c r="F146" s="13" t="inlineStr">
        <is>
          <t>См.обл.</t>
        </is>
      </c>
      <c r="G146" s="1" t="inlineStr">
        <is>
          <t>Форри Л.А.</t>
        </is>
      </c>
      <c r="H146" s="1" t="inlineStr">
        <is>
          <t>60х90/16</t>
        </is>
      </c>
      <c r="I146" s="1" t="n">
        <v>352</v>
      </c>
      <c r="J146" s="1" t="inlineStr">
        <is>
          <t>РИПОЛ Классик</t>
        </is>
      </c>
      <c r="M146" s="1" t="inlineStr">
        <is>
          <t>2022</t>
        </is>
      </c>
      <c r="N146" s="1" t="inlineStr">
        <is>
          <t>О</t>
        </is>
      </c>
      <c r="O146" s="9" t="n">
        <v>7</v>
      </c>
      <c r="P146" s="1">
        <f>ROUNDUP(830*(1-$F$3),2)</f>
        <v/>
      </c>
      <c r="Q146" s="1" t="inlineStr">
        <is>
          <t> </t>
        </is>
      </c>
      <c r="R146" s="1" t="inlineStr">
        <is>
          <t>978-5-386-14826-3</t>
        </is>
      </c>
      <c r="S146" s="1" t="inlineStr">
        <is>
          <t>9785386148263</t>
        </is>
      </c>
      <c r="T146" s="9" t="n">
        <v>10</v>
      </c>
      <c r="U146" s="1">
        <f>ROUNDUP(754.55*(1-$F$3),2)</f>
        <v/>
      </c>
      <c r="V146" s="1" t="n">
        <v>324</v>
      </c>
      <c r="Y146" s="1" t="inlineStr">
        <is>
          <t>Они делали плохие вещи</t>
        </is>
      </c>
      <c r="Z146" s="1" t="inlineStr">
        <is>
          <t>16+</t>
        </is>
      </c>
      <c r="AA146" s="12" t="n">
        <v>44785</v>
      </c>
      <c r="AB146" s="1" t="inlineStr">
        <is>
          <t>Художественная литература</t>
        </is>
      </c>
      <c r="AC146" s="1" t="inlineStr">
        <is>
          <t>Детективы. Боевики. Триллеры</t>
        </is>
      </c>
      <c r="AD146" s="1" t="inlineStr">
        <is>
          <t>Триллеры</t>
        </is>
      </c>
      <c r="AE146" s="1" t="inlineStr">
        <is>
          <t>офсетная</t>
        </is>
      </c>
      <c r="AG146" s="1" t="n">
        <v>10484680</v>
      </c>
      <c r="AI146" s="1" t="inlineStr">
        <is>
          <t>4901990000</t>
        </is>
      </c>
      <c r="AJ146" s="1" t="inlineStr">
        <is>
          <t>Зпв</t>
        </is>
      </c>
    </row>
    <row r="147" customFormat="1" s="1">
      <c r="C147" s="1" t="inlineStr">
        <is>
          <t xml:space="preserve">10485020            </t>
        </is>
      </c>
      <c r="D147" s="1" t="inlineStr">
        <is>
          <t>Best-Thriller</t>
        </is>
      </c>
      <c r="E147" s="1" t="inlineStr">
        <is>
          <t>Убей моего босса. Альден Р.Э.</t>
        </is>
      </c>
      <c r="F147" s="13" t="inlineStr">
        <is>
          <t>См.обл.</t>
        </is>
      </c>
      <c r="G147" s="1" t="inlineStr">
        <is>
          <t>Альден Р.Э.</t>
        </is>
      </c>
      <c r="H147" s="1" t="inlineStr">
        <is>
          <t>60х90/16</t>
        </is>
      </c>
      <c r="I147" s="1" t="n">
        <v>368</v>
      </c>
      <c r="J147" s="1" t="inlineStr">
        <is>
          <t>РИПОЛ Классик</t>
        </is>
      </c>
      <c r="M147" s="1" t="inlineStr">
        <is>
          <t>2022</t>
        </is>
      </c>
      <c r="N147" s="1" t="inlineStr">
        <is>
          <t>О</t>
        </is>
      </c>
      <c r="O147" s="9" t="n">
        <v>5</v>
      </c>
      <c r="P147" s="1">
        <f>ROUNDUP(830*(1-$F$3),2)</f>
        <v/>
      </c>
      <c r="Q147" s="1" t="inlineStr">
        <is>
          <t> </t>
        </is>
      </c>
      <c r="R147" s="1" t="inlineStr">
        <is>
          <t>978-5-386-14702-0</t>
        </is>
      </c>
      <c r="S147" s="1" t="inlineStr">
        <is>
          <t>9785386147020</t>
        </is>
      </c>
      <c r="T147" s="9" t="n">
        <v>10</v>
      </c>
      <c r="U147" s="1">
        <f>ROUNDUP(754.55*(1-$F$3),2)</f>
        <v/>
      </c>
      <c r="V147" s="1" t="n">
        <v>317</v>
      </c>
      <c r="Y147" s="1" t="inlineStr">
        <is>
          <t>Убей моего босса</t>
        </is>
      </c>
      <c r="Z147" s="1" t="inlineStr">
        <is>
          <t>18+</t>
        </is>
      </c>
      <c r="AA147" s="12" t="n">
        <v>44788</v>
      </c>
      <c r="AB147" s="1" t="inlineStr">
        <is>
          <t>Художественная литература</t>
        </is>
      </c>
      <c r="AC147" s="1" t="inlineStr">
        <is>
          <t>Детективы. Боевики. Триллеры</t>
        </is>
      </c>
      <c r="AD147" s="1" t="inlineStr">
        <is>
          <t>Зарубежный детектив</t>
        </is>
      </c>
      <c r="AE147" s="1" t="inlineStr">
        <is>
          <t>газетная</t>
        </is>
      </c>
      <c r="AG147" s="1" t="n">
        <v>10485020</v>
      </c>
      <c r="AI147" s="1" t="inlineStr">
        <is>
          <t>4901990000</t>
        </is>
      </c>
    </row>
    <row r="148" customFormat="1" s="1">
      <c r="C148" s="1" t="inlineStr">
        <is>
          <t xml:space="preserve">10666950            </t>
        </is>
      </c>
      <c r="D148" s="1" t="inlineStr">
        <is>
          <t>Best-Thriller</t>
        </is>
      </c>
      <c r="E148" s="1" t="inlineStr">
        <is>
          <t>Я застрелил дьявола. Макайвер Р.</t>
        </is>
      </c>
      <c r="F148" s="13" t="inlineStr">
        <is>
          <t>См.обл.</t>
        </is>
      </c>
      <c r="G148" s="1" t="inlineStr">
        <is>
          <t>Макайвер Р.</t>
        </is>
      </c>
      <c r="H148" s="1" t="inlineStr">
        <is>
          <t>60х90/16</t>
        </is>
      </c>
      <c r="I148" s="1" t="n">
        <v>448</v>
      </c>
      <c r="J148" s="1" t="inlineStr">
        <is>
          <t>РИПОЛ Классик</t>
        </is>
      </c>
      <c r="M148" s="1" t="inlineStr">
        <is>
          <t>2023</t>
        </is>
      </c>
      <c r="N148" s="1" t="inlineStr">
        <is>
          <t>П</t>
        </is>
      </c>
      <c r="O148" s="9" t="n">
        <v>10</v>
      </c>
      <c r="P148" s="1">
        <f>ROUNDUP(1340*(1-$F$3),2)</f>
        <v/>
      </c>
      <c r="Q148" s="1" t="inlineStr">
        <is>
          <t> </t>
        </is>
      </c>
      <c r="R148" s="1" t="inlineStr">
        <is>
          <t>978-5-386-14864-5</t>
        </is>
      </c>
      <c r="S148" s="1" t="inlineStr">
        <is>
          <t>9785386148645</t>
        </is>
      </c>
      <c r="T148" s="9" t="n">
        <v>22</v>
      </c>
      <c r="U148" s="1">
        <f>ROUNDUP(1098.36*(1-$F$3),2)</f>
        <v/>
      </c>
      <c r="V148" s="1" t="n">
        <v>621</v>
      </c>
      <c r="Y148" s="1" t="inlineStr">
        <is>
          <t>Я застрелил дьявола</t>
        </is>
      </c>
      <c r="Z148" s="1" t="inlineStr">
        <is>
          <t>18+</t>
        </is>
      </c>
      <c r="AA148" s="12" t="n">
        <v>44868</v>
      </c>
      <c r="AB148" s="1" t="inlineStr">
        <is>
          <t>Художественная литература</t>
        </is>
      </c>
      <c r="AC148" s="1" t="inlineStr">
        <is>
          <t>Детективы. Боевики. Триллеры</t>
        </is>
      </c>
      <c r="AD148" s="1" t="inlineStr">
        <is>
          <t>Триллеры</t>
        </is>
      </c>
      <c r="AE148" s="1" t="inlineStr">
        <is>
          <t>офсетная</t>
        </is>
      </c>
      <c r="AG148" s="1" t="n">
        <v>10666950</v>
      </c>
      <c r="AI148" s="1" t="inlineStr">
        <is>
          <t>4901990000</t>
        </is>
      </c>
      <c r="AJ148" s="1" t="inlineStr">
        <is>
          <t>Зпв</t>
        </is>
      </c>
    </row>
    <row r="149" customFormat="1" s="1">
      <c r="C149" s="1" t="inlineStr">
        <is>
          <t xml:space="preserve">10442010            </t>
        </is>
      </c>
      <c r="D149" s="1" t="inlineStr">
        <is>
          <t>Black Books</t>
        </is>
      </c>
      <c r="E149" s="1" t="inlineStr">
        <is>
          <t>48 законов власти (краткая версия). Грин Р.</t>
        </is>
      </c>
      <c r="F149" s="13" t="inlineStr">
        <is>
          <t>См.обл.</t>
        </is>
      </c>
      <c r="G149" s="1" t="inlineStr">
        <is>
          <t>Грин Р.</t>
        </is>
      </c>
      <c r="H149" s="1" t="inlineStr">
        <is>
          <t>84х108/32</t>
        </is>
      </c>
      <c r="I149" s="1" t="n">
        <v>256</v>
      </c>
      <c r="J149" s="1" t="inlineStr">
        <is>
          <t>РИПОЛ Классик</t>
        </is>
      </c>
      <c r="M149" s="1" t="inlineStr">
        <is>
          <t>2026</t>
        </is>
      </c>
      <c r="N149" s="1" t="inlineStr">
        <is>
          <t>П</t>
        </is>
      </c>
      <c r="O149" s="9" t="n">
        <v>12</v>
      </c>
      <c r="P149" s="1">
        <f>ROUNDUP(1020*(1-$F$3),2)</f>
        <v/>
      </c>
      <c r="Q149" s="1" t="inlineStr">
        <is>
          <t> </t>
        </is>
      </c>
      <c r="R149" s="1" t="inlineStr">
        <is>
          <t>978-5-386-14791-4</t>
        </is>
      </c>
      <c r="S149" s="1" t="inlineStr">
        <is>
          <t>9785386147914</t>
        </is>
      </c>
      <c r="T149" s="9" t="n">
        <v>10</v>
      </c>
      <c r="U149" s="1">
        <f>ROUNDUP(927.27*(1-$F$3),2)</f>
        <v/>
      </c>
      <c r="V149" s="1" t="n">
        <v>272</v>
      </c>
      <c r="Y149" s="1" t="inlineStr">
        <is>
          <t>48 законов власти (краткая версия)</t>
        </is>
      </c>
      <c r="Z149" s="1" t="inlineStr">
        <is>
          <t>16+</t>
        </is>
      </c>
      <c r="AA149" s="12" t="n">
        <v>44700</v>
      </c>
      <c r="AB149" s="1" t="inlineStr">
        <is>
          <t>Общественные науки</t>
        </is>
      </c>
      <c r="AC149" s="1" t="inlineStr">
        <is>
          <t>Политика</t>
        </is>
      </c>
      <c r="AD149" s="1" t="inlineStr">
        <is>
          <t>Государственное управление. Власть</t>
        </is>
      </c>
      <c r="AE149" s="1" t="inlineStr">
        <is>
          <t>офсетная</t>
        </is>
      </c>
      <c r="AG149" s="1" t="n">
        <v>10442010</v>
      </c>
      <c r="AI149" s="1" t="inlineStr">
        <is>
          <t>4901990000</t>
        </is>
      </c>
    </row>
    <row r="150" customFormat="1" s="1">
      <c r="C150" s="1" t="inlineStr">
        <is>
          <t xml:space="preserve">10473730            </t>
        </is>
      </c>
      <c r="D150" s="1" t="inlineStr">
        <is>
          <t>Black Books</t>
        </is>
      </c>
      <c r="E150" s="1" t="inlineStr">
        <is>
          <t>Лестница в небо. Краткая версия. Хазин М.Л., Щеглов С.И</t>
        </is>
      </c>
      <c r="F150" s="13" t="inlineStr">
        <is>
          <t>См.обл.</t>
        </is>
      </c>
      <c r="G150" s="1" t="inlineStr">
        <is>
          <t>Хазин М.Л., Щеглов С.И</t>
        </is>
      </c>
      <c r="H150" s="1" t="inlineStr">
        <is>
          <t>84х108/32</t>
        </is>
      </c>
      <c r="I150" s="1" t="n">
        <v>248</v>
      </c>
      <c r="J150" s="1" t="inlineStr">
        <is>
          <t>РИПОЛ Классик</t>
        </is>
      </c>
      <c r="M150" s="1" t="inlineStr">
        <is>
          <t>2022</t>
        </is>
      </c>
      <c r="N150" s="1" t="inlineStr">
        <is>
          <t>П</t>
        </is>
      </c>
      <c r="O150" s="9" t="n">
        <v>16</v>
      </c>
      <c r="P150" s="1">
        <f>ROUNDUP(1060*(1-$F$3),2)</f>
        <v/>
      </c>
      <c r="Q150" s="1" t="inlineStr">
        <is>
          <t> </t>
        </is>
      </c>
      <c r="R150" s="1" t="inlineStr">
        <is>
          <t>978-5-386-14805-8</t>
        </is>
      </c>
      <c r="S150" s="1" t="inlineStr">
        <is>
          <t>9785386148058</t>
        </is>
      </c>
      <c r="T150" s="9" t="n">
        <v>10</v>
      </c>
      <c r="U150" s="1">
        <f>ROUNDUP(963.64*(1-$F$3),2)</f>
        <v/>
      </c>
      <c r="V150" s="1" t="n">
        <v>309</v>
      </c>
      <c r="Y150" s="1" t="inlineStr">
        <is>
          <t>Лестница в небо. Краткая версия</t>
        </is>
      </c>
      <c r="Z150" s="1" t="inlineStr">
        <is>
          <t>12+</t>
        </is>
      </c>
      <c r="AA150" s="12" t="n">
        <v>44718</v>
      </c>
      <c r="AB150" s="1" t="inlineStr">
        <is>
          <t>Общественные науки</t>
        </is>
      </c>
      <c r="AC150" s="1" t="inlineStr">
        <is>
          <t>Политика</t>
        </is>
      </c>
      <c r="AD150" s="1" t="inlineStr">
        <is>
          <t>Государственное управление. Власть</t>
        </is>
      </c>
      <c r="AE150" s="1" t="inlineStr">
        <is>
          <t>офсетная</t>
        </is>
      </c>
      <c r="AG150" s="1" t="n">
        <v>10473730</v>
      </c>
      <c r="AI150" s="1" t="inlineStr">
        <is>
          <t>4901990000</t>
        </is>
      </c>
    </row>
    <row r="151" customFormat="1" s="1">
      <c r="C151" s="1" t="inlineStr">
        <is>
          <t xml:space="preserve">9441210             </t>
        </is>
      </c>
      <c r="D151" s="1" t="inlineStr">
        <is>
          <t>Black Books</t>
        </is>
      </c>
      <c r="E151" s="1" t="inlineStr">
        <is>
          <t>Письма к сыну. Честерфилд Ф.Д.С.</t>
        </is>
      </c>
      <c r="F151" s="13" t="inlineStr">
        <is>
          <t>См.обл.</t>
        </is>
      </c>
      <c r="G151" s="1" t="inlineStr">
        <is>
          <t>Честерфилд Ф.Д.С.</t>
        </is>
      </c>
      <c r="H151" s="1" t="inlineStr">
        <is>
          <t>84х108/32</t>
        </is>
      </c>
      <c r="I151" s="1" t="n">
        <v>248</v>
      </c>
      <c r="J151" s="1" t="inlineStr">
        <is>
          <t>РИПОЛ Классик</t>
        </is>
      </c>
      <c r="M151" s="1" t="inlineStr">
        <is>
          <t>2026</t>
        </is>
      </c>
      <c r="N151" s="1" t="inlineStr">
        <is>
          <t>П</t>
        </is>
      </c>
      <c r="O151" s="9" t="n">
        <v>12</v>
      </c>
      <c r="P151" s="1">
        <f>ROUNDUP(950*(1-$F$3),2)</f>
        <v/>
      </c>
      <c r="Q151" s="1" t="inlineStr">
        <is>
          <t> </t>
        </is>
      </c>
      <c r="R151" s="1" t="inlineStr">
        <is>
          <t>978-5-386-13584-3</t>
        </is>
      </c>
      <c r="S151" s="1" t="inlineStr">
        <is>
          <t>9785386135843</t>
        </is>
      </c>
      <c r="T151" s="9" t="n">
        <v>10</v>
      </c>
      <c r="U151" s="1">
        <f>ROUNDUP(863.64*(1-$F$3),2)</f>
        <v/>
      </c>
      <c r="V151" s="1" t="n">
        <v>309</v>
      </c>
      <c r="Y151" s="1" t="inlineStr">
        <is>
          <t>Письма к сыну</t>
        </is>
      </c>
      <c r="Z151" s="1" t="inlineStr">
        <is>
          <t>12+</t>
        </is>
      </c>
      <c r="AA151" s="12" t="n">
        <v>44389</v>
      </c>
      <c r="AB151" s="1" t="inlineStr">
        <is>
          <t>Гуманитарные науки</t>
        </is>
      </c>
      <c r="AC151" s="1" t="inlineStr">
        <is>
          <t>Философские науки</t>
        </is>
      </c>
      <c r="AD151" s="1" t="inlineStr">
        <is>
          <t>Этика</t>
        </is>
      </c>
      <c r="AE151" s="1" t="inlineStr">
        <is>
          <t>офсетная</t>
        </is>
      </c>
      <c r="AG151" s="1" t="n">
        <v>9441210</v>
      </c>
      <c r="AI151" s="1" t="inlineStr">
        <is>
          <t>4901990000</t>
        </is>
      </c>
    </row>
    <row r="152" customFormat="1" s="1">
      <c r="C152" s="1" t="inlineStr">
        <is>
          <t xml:space="preserve">10408250            </t>
        </is>
      </c>
      <c r="D152" s="1" t="inlineStr">
        <is>
          <t>Book&amp;Travel</t>
        </is>
      </c>
      <c r="E152" s="1" t="inlineStr">
        <is>
          <t>1793: роман. Натт-о-Даг Н.</t>
        </is>
      </c>
      <c r="F152" s="13" t="inlineStr">
        <is>
          <t>См.обл.</t>
        </is>
      </c>
      <c r="G152" s="1" t="inlineStr">
        <is>
          <t>Натт-о-Даг Н.</t>
        </is>
      </c>
      <c r="H152" s="1" t="inlineStr">
        <is>
          <t>60х90/16</t>
        </is>
      </c>
      <c r="I152" s="1" t="n">
        <v>496</v>
      </c>
      <c r="J152" s="1" t="inlineStr">
        <is>
          <t>РИПОЛ Классик</t>
        </is>
      </c>
      <c r="M152" s="1" t="inlineStr">
        <is>
          <t>2022</t>
        </is>
      </c>
      <c r="N152" s="1" t="inlineStr">
        <is>
          <t>О</t>
        </is>
      </c>
      <c r="O152" s="9" t="n">
        <v>6</v>
      </c>
      <c r="P152" s="1">
        <f>ROUNDUP(980*(1-$F$3),2)</f>
        <v/>
      </c>
      <c r="Q152" s="1" t="inlineStr">
        <is>
          <t> </t>
        </is>
      </c>
      <c r="R152" s="1" t="inlineStr">
        <is>
          <t>978-5-386-14709-9</t>
        </is>
      </c>
      <c r="S152" s="1" t="inlineStr">
        <is>
          <t>9785386147099</t>
        </is>
      </c>
      <c r="T152" s="9" t="n">
        <v>10</v>
      </c>
      <c r="U152" s="1">
        <f>ROUNDUP(890.91*(1-$F$3),2)</f>
        <v/>
      </c>
      <c r="V152" s="1" t="n">
        <v>413</v>
      </c>
      <c r="Y152" s="1" t="inlineStr">
        <is>
          <t>1793: роман</t>
        </is>
      </c>
      <c r="Z152" s="1" t="inlineStr">
        <is>
          <t>18+</t>
        </is>
      </c>
      <c r="AA152" s="12" t="n">
        <v>44698</v>
      </c>
      <c r="AB152" s="1" t="inlineStr">
        <is>
          <t>Художественная литература</t>
        </is>
      </c>
      <c r="AC152" s="1" t="inlineStr">
        <is>
          <t>Детективы. Боевики. Триллеры</t>
        </is>
      </c>
      <c r="AD152" s="1" t="inlineStr">
        <is>
          <t>Зарубежный детектив</t>
        </is>
      </c>
      <c r="AE152" s="1" t="inlineStr">
        <is>
          <t>офсетная</t>
        </is>
      </c>
      <c r="AG152" s="1" t="n">
        <v>10408250</v>
      </c>
      <c r="AI152" s="1" t="inlineStr">
        <is>
          <t>4901990000</t>
        </is>
      </c>
      <c r="AJ152" s="1" t="inlineStr">
        <is>
          <t>Зпв</t>
        </is>
      </c>
    </row>
    <row r="153" customFormat="1" s="1">
      <c r="C153" s="1" t="inlineStr">
        <is>
          <t xml:space="preserve">10452520            </t>
        </is>
      </c>
      <c r="D153" s="1" t="inlineStr">
        <is>
          <t>Book&amp;Travel</t>
        </is>
      </c>
      <c r="E153" s="1" t="inlineStr">
        <is>
          <t>1794. Натт-о-Даг Н.</t>
        </is>
      </c>
      <c r="F153" s="13" t="inlineStr">
        <is>
          <t>См.обл.</t>
        </is>
      </c>
      <c r="G153" s="1" t="inlineStr">
        <is>
          <t>Натт-о-Даг Н.</t>
        </is>
      </c>
      <c r="H153" s="1" t="inlineStr">
        <is>
          <t>60х90/16</t>
        </is>
      </c>
      <c r="I153" s="1" t="n">
        <v>640</v>
      </c>
      <c r="J153" s="1" t="inlineStr">
        <is>
          <t>РИПОЛ Классик</t>
        </is>
      </c>
      <c r="M153" s="1" t="inlineStr">
        <is>
          <t>2022</t>
        </is>
      </c>
      <c r="N153" s="1" t="inlineStr">
        <is>
          <t>О</t>
        </is>
      </c>
      <c r="O153" s="9" t="n">
        <v>4</v>
      </c>
      <c r="P153" s="1">
        <f>ROUNDUP(920*(1-$F$3),2)</f>
        <v/>
      </c>
      <c r="Q153" s="1" t="inlineStr">
        <is>
          <t> </t>
        </is>
      </c>
      <c r="R153" s="1" t="inlineStr">
        <is>
          <t>978-5-386-14767-9</t>
        </is>
      </c>
      <c r="S153" s="1" t="inlineStr">
        <is>
          <t>9785386147679</t>
        </is>
      </c>
      <c r="T153" s="9" t="n">
        <v>22</v>
      </c>
      <c r="U153" s="1">
        <f>ROUNDUP(754.1*(1-$F$3),2)</f>
        <v/>
      </c>
      <c r="V153" s="1" t="n">
        <v>571</v>
      </c>
      <c r="Y153" s="1" t="inlineStr">
        <is>
          <t>1794</t>
        </is>
      </c>
      <c r="Z153" s="1" t="inlineStr">
        <is>
          <t>18+</t>
        </is>
      </c>
      <c r="AA153" s="12" t="n">
        <v>44713</v>
      </c>
      <c r="AB153" s="1" t="inlineStr">
        <is>
          <t>Художественная литература</t>
        </is>
      </c>
      <c r="AC153" s="1" t="inlineStr">
        <is>
          <t>Детективы. Боевики. Триллеры</t>
        </is>
      </c>
      <c r="AD153" s="1" t="inlineStr">
        <is>
          <t>Зарубежный детектив</t>
        </is>
      </c>
      <c r="AE153" s="1" t="inlineStr">
        <is>
          <t>газетная</t>
        </is>
      </c>
      <c r="AG153" s="1" t="n">
        <v>10452520</v>
      </c>
      <c r="AI153" s="1" t="inlineStr">
        <is>
          <t>4901990000</t>
        </is>
      </c>
      <c r="AJ153" s="1" t="inlineStr">
        <is>
          <t>Зпв</t>
        </is>
      </c>
    </row>
    <row r="154" customFormat="1" s="1">
      <c r="C154" s="1" t="inlineStr">
        <is>
          <t xml:space="preserve">10451050            </t>
        </is>
      </c>
      <c r="D154" s="1" t="inlineStr">
        <is>
          <t>Book&amp;Travel</t>
        </is>
      </c>
      <c r="E154" s="1" t="inlineStr">
        <is>
          <t>Безумие толпы. Как мир сошел с ума от толерантности и попыток угодить всем. Мюррей Д.</t>
        </is>
      </c>
      <c r="F154" s="13" t="inlineStr">
        <is>
          <t>См.обл.</t>
        </is>
      </c>
      <c r="G154" s="1" t="inlineStr">
        <is>
          <t>Мюррей Д.</t>
        </is>
      </c>
      <c r="H154" s="1" t="inlineStr">
        <is>
          <t>60х90/16</t>
        </is>
      </c>
      <c r="I154" s="1" t="n">
        <v>480</v>
      </c>
      <c r="J154" s="1" t="inlineStr">
        <is>
          <t>РИПОЛ Классик</t>
        </is>
      </c>
      <c r="M154" s="1" t="inlineStr">
        <is>
          <t>2022</t>
        </is>
      </c>
      <c r="N154" s="1" t="inlineStr">
        <is>
          <t>О</t>
        </is>
      </c>
      <c r="O154" s="9" t="n">
        <v>5</v>
      </c>
      <c r="P154" s="1">
        <f>ROUNDUP(830*(1-$F$3),2)</f>
        <v/>
      </c>
      <c r="Q154" s="1" t="inlineStr">
        <is>
          <t> </t>
        </is>
      </c>
      <c r="R154" s="1" t="inlineStr">
        <is>
          <t>978-5-386-14769-3</t>
        </is>
      </c>
      <c r="S154" s="1" t="inlineStr">
        <is>
          <t>9785386147693</t>
        </is>
      </c>
      <c r="T154" s="9" t="n">
        <v>22</v>
      </c>
      <c r="U154" s="1">
        <f>ROUNDUP(680.33*(1-$F$3),2)</f>
        <v/>
      </c>
      <c r="V154" s="1" t="n">
        <v>432</v>
      </c>
      <c r="Y154" s="1" t="inlineStr">
        <is>
          <t>Безумие толпы. Как мир сошел с ума от толерантности и попыток угодить всем</t>
        </is>
      </c>
      <c r="Z154" s="1" t="inlineStr">
        <is>
          <t>18+</t>
        </is>
      </c>
      <c r="AA154" s="12" t="n">
        <v>44713</v>
      </c>
      <c r="AB154" s="1" t="inlineStr">
        <is>
          <t>Общественные науки</t>
        </is>
      </c>
      <c r="AC154" s="1" t="inlineStr">
        <is>
          <t>Обществознание. Социология. Демография.</t>
        </is>
      </c>
      <c r="AD154" s="1" t="inlineStr">
        <is>
          <t>Общая социология</t>
        </is>
      </c>
      <c r="AE154" s="1" t="inlineStr">
        <is>
          <t>газетная</t>
        </is>
      </c>
      <c r="AG154" s="1" t="n">
        <v>10451050</v>
      </c>
      <c r="AI154" s="1" t="inlineStr">
        <is>
          <t>4901990000</t>
        </is>
      </c>
    </row>
    <row r="155" customFormat="1" s="1">
      <c r="C155" s="1" t="inlineStr">
        <is>
          <t xml:space="preserve">10451040            </t>
        </is>
      </c>
      <c r="D155" s="1" t="inlineStr">
        <is>
          <t>Book&amp;Travel</t>
        </is>
      </c>
      <c r="E155" s="1" t="inlineStr">
        <is>
          <t>Большое волшебство. Творчество без страха. Гилберт Э.</t>
        </is>
      </c>
      <c r="F155" s="13" t="inlineStr">
        <is>
          <t>См.обл.</t>
        </is>
      </c>
      <c r="G155" s="1" t="inlineStr">
        <is>
          <t>Гилберт Э.</t>
        </is>
      </c>
      <c r="H155" s="1" t="inlineStr">
        <is>
          <t>60х90/16</t>
        </is>
      </c>
      <c r="I155" s="1" t="n">
        <v>320</v>
      </c>
      <c r="J155" s="1" t="inlineStr">
        <is>
          <t>РИПОЛ Классик</t>
        </is>
      </c>
      <c r="M155" s="1" t="inlineStr">
        <is>
          <t>2022</t>
        </is>
      </c>
      <c r="N155" s="1" t="inlineStr">
        <is>
          <t>О</t>
        </is>
      </c>
      <c r="O155" s="9" t="n">
        <v>8</v>
      </c>
      <c r="P155" s="1">
        <f>ROUNDUP(750*(1-$F$3),2)</f>
        <v/>
      </c>
      <c r="Q155" s="1" t="inlineStr">
        <is>
          <t> </t>
        </is>
      </c>
      <c r="R155" s="1" t="inlineStr">
        <is>
          <t>978-5-386-14770-9</t>
        </is>
      </c>
      <c r="S155" s="1" t="inlineStr">
        <is>
          <t>9785386147709</t>
        </is>
      </c>
      <c r="T155" s="9" t="n">
        <v>10</v>
      </c>
      <c r="U155" s="1">
        <f>ROUNDUP(681.82*(1-$F$3),2)</f>
        <v/>
      </c>
      <c r="V155" s="1" t="n">
        <v>289</v>
      </c>
      <c r="Y155" s="1" t="inlineStr">
        <is>
          <t>Большое волшебство. Творчество без страха</t>
        </is>
      </c>
      <c r="Z155" s="1" t="inlineStr">
        <is>
          <t>16+</t>
        </is>
      </c>
      <c r="AA155" s="12" t="n">
        <v>44713</v>
      </c>
      <c r="AB155" s="1" t="inlineStr">
        <is>
          <t>Гуманитарные науки</t>
        </is>
      </c>
      <c r="AC155" s="1" t="inlineStr">
        <is>
          <t>Психология</t>
        </is>
      </c>
      <c r="AD155" s="1" t="inlineStr">
        <is>
          <t>Популярная психология</t>
        </is>
      </c>
      <c r="AE155" s="1" t="inlineStr">
        <is>
          <t>газетная</t>
        </is>
      </c>
      <c r="AG155" s="1" t="n">
        <v>10451040</v>
      </c>
      <c r="AI155" s="1" t="inlineStr">
        <is>
          <t>4901990000</t>
        </is>
      </c>
      <c r="AJ155" s="1" t="inlineStr">
        <is>
          <t>Зпв</t>
        </is>
      </c>
    </row>
    <row r="156" customFormat="1" s="1">
      <c r="C156" s="1" t="inlineStr">
        <is>
          <t xml:space="preserve">10409200            </t>
        </is>
      </c>
      <c r="D156" s="1" t="inlineStr">
        <is>
          <t>Book&amp;Travel</t>
        </is>
      </c>
      <c r="E156" s="1" t="inlineStr">
        <is>
          <t>Вся твоя ложь. Тайс Г.</t>
        </is>
      </c>
      <c r="F156" s="13" t="inlineStr">
        <is>
          <t>См.обл.</t>
        </is>
      </c>
      <c r="G156" s="1" t="inlineStr">
        <is>
          <t>Тайс Г.</t>
        </is>
      </c>
      <c r="H156" s="1" t="inlineStr">
        <is>
          <t>60х90/16</t>
        </is>
      </c>
      <c r="I156" s="1" t="n">
        <v>432</v>
      </c>
      <c r="J156" s="1" t="inlineStr">
        <is>
          <t>РИПОЛ Классик</t>
        </is>
      </c>
      <c r="M156" s="1" t="inlineStr">
        <is>
          <t>2022</t>
        </is>
      </c>
      <c r="N156" s="1" t="inlineStr">
        <is>
          <t>О</t>
        </is>
      </c>
      <c r="O156" s="9" t="n">
        <v>7</v>
      </c>
      <c r="P156" s="1">
        <f>ROUNDUP(950*(1-$F$3),2)</f>
        <v/>
      </c>
      <c r="Q156" s="1" t="inlineStr">
        <is>
          <t> </t>
        </is>
      </c>
      <c r="R156" s="1" t="inlineStr">
        <is>
          <t>978-5-386-14704-4</t>
        </is>
      </c>
      <c r="S156" s="1" t="inlineStr">
        <is>
          <t>9785386147044</t>
        </is>
      </c>
      <c r="T156" s="9" t="n">
        <v>10</v>
      </c>
      <c r="U156" s="1">
        <f>ROUNDUP(863.64*(1-$F$3),2)</f>
        <v/>
      </c>
      <c r="V156" s="1" t="n">
        <v>356</v>
      </c>
      <c r="Y156" s="1" t="inlineStr">
        <is>
          <t>Вся твоя ложь</t>
        </is>
      </c>
      <c r="Z156" s="1" t="inlineStr">
        <is>
          <t>16+</t>
        </is>
      </c>
      <c r="AA156" s="12" t="n">
        <v>44698</v>
      </c>
      <c r="AB156" s="1" t="inlineStr">
        <is>
          <t>Художественная литература</t>
        </is>
      </c>
      <c r="AC156" s="1" t="inlineStr">
        <is>
          <t>Детективы. Боевики. Триллеры</t>
        </is>
      </c>
      <c r="AD156" s="1" t="inlineStr">
        <is>
          <t>Зарубежный детектив</t>
        </is>
      </c>
      <c r="AE156" s="1" t="inlineStr">
        <is>
          <t>офсетная</t>
        </is>
      </c>
      <c r="AG156" s="1" t="n">
        <v>10409200</v>
      </c>
      <c r="AI156" s="1" t="inlineStr">
        <is>
          <t>4901990000</t>
        </is>
      </c>
      <c r="AJ156" s="1" t="inlineStr">
        <is>
          <t>Зпв</t>
        </is>
      </c>
    </row>
    <row r="157" customFormat="1" s="1">
      <c r="C157" s="1" t="inlineStr">
        <is>
          <t xml:space="preserve">10506700            </t>
        </is>
      </c>
      <c r="D157" s="1" t="inlineStr">
        <is>
          <t>Book&amp;Travel</t>
        </is>
      </c>
      <c r="E157" s="1" t="inlineStr">
        <is>
          <t>Когда мы виделись в последний раз. Лив Константин</t>
        </is>
      </c>
      <c r="F157" s="13" t="inlineStr">
        <is>
          <t>См.обл.</t>
        </is>
      </c>
      <c r="G157" s="1" t="inlineStr">
        <is>
          <t>Лив Константин</t>
        </is>
      </c>
      <c r="H157" s="1" t="inlineStr">
        <is>
          <t>60х90/16</t>
        </is>
      </c>
      <c r="I157" s="1" t="n">
        <v>384</v>
      </c>
      <c r="J157" s="1" t="inlineStr">
        <is>
          <t>РИПОЛ Классик</t>
        </is>
      </c>
      <c r="M157" s="1" t="inlineStr">
        <is>
          <t>2022</t>
        </is>
      </c>
      <c r="N157" s="1" t="inlineStr">
        <is>
          <t>О</t>
        </is>
      </c>
      <c r="O157" s="9" t="n">
        <v>6</v>
      </c>
      <c r="P157" s="1">
        <f>ROUNDUP(780*(1-$F$3),2)</f>
        <v/>
      </c>
      <c r="Q157" s="1" t="inlineStr">
        <is>
          <t> </t>
        </is>
      </c>
      <c r="R157" s="1" t="inlineStr">
        <is>
          <t>978-5-386-14845-4</t>
        </is>
      </c>
      <c r="S157" s="1" t="inlineStr">
        <is>
          <t>9785386148454</t>
        </is>
      </c>
      <c r="T157" s="9" t="n">
        <v>10</v>
      </c>
      <c r="U157" s="1">
        <f>ROUNDUP(709.09*(1-$F$3),2)</f>
        <v/>
      </c>
      <c r="V157" s="1" t="n">
        <v>357</v>
      </c>
      <c r="Y157" s="1" t="inlineStr">
        <is>
          <t>Когда мы виделись в последний раз</t>
        </is>
      </c>
      <c r="Z157" s="1" t="inlineStr">
        <is>
          <t>16+</t>
        </is>
      </c>
      <c r="AA157" s="12" t="n">
        <v>44805</v>
      </c>
      <c r="AB157" s="1" t="inlineStr">
        <is>
          <t>Художественная литература</t>
        </is>
      </c>
      <c r="AC157" s="1" t="inlineStr">
        <is>
          <t>Детективы. Боевики. Триллеры</t>
        </is>
      </c>
      <c r="AD157" s="1" t="inlineStr">
        <is>
          <t>Русский детектив</t>
        </is>
      </c>
      <c r="AE157" s="1" t="inlineStr">
        <is>
          <t>офсетная</t>
        </is>
      </c>
      <c r="AG157" s="1" t="n">
        <v>10506700</v>
      </c>
      <c r="AI157" s="1" t="inlineStr">
        <is>
          <t>4901990000</t>
        </is>
      </c>
      <c r="AJ157" s="1" t="inlineStr">
        <is>
          <t>Зпв</t>
        </is>
      </c>
    </row>
    <row r="158" customFormat="1" s="1">
      <c r="C158" s="1" t="inlineStr">
        <is>
          <t xml:space="preserve">10435900            </t>
        </is>
      </c>
      <c r="D158" s="1" t="inlineStr">
        <is>
          <t>Book&amp;Travel</t>
        </is>
      </c>
      <c r="E158" s="1" t="inlineStr">
        <is>
          <t>Красивые вещи. Браун Дж.</t>
        </is>
      </c>
      <c r="F158" s="13" t="inlineStr">
        <is>
          <t>См.обл.</t>
        </is>
      </c>
      <c r="G158" s="1" t="inlineStr">
        <is>
          <t>Браун Дж.</t>
        </is>
      </c>
      <c r="H158" s="1" t="inlineStr">
        <is>
          <t>60х90/16</t>
        </is>
      </c>
      <c r="I158" s="1" t="n">
        <v>512</v>
      </c>
      <c r="J158" s="1" t="inlineStr">
        <is>
          <t>РИПОЛ Классик</t>
        </is>
      </c>
      <c r="M158" s="1" t="inlineStr">
        <is>
          <t>2022</t>
        </is>
      </c>
      <c r="N158" s="1" t="inlineStr">
        <is>
          <t>О</t>
        </is>
      </c>
      <c r="O158" s="9" t="n">
        <v>6</v>
      </c>
      <c r="P158" s="1">
        <f>ROUNDUP(1010*(1-$F$3),2)</f>
        <v/>
      </c>
      <c r="Q158" s="1" t="inlineStr">
        <is>
          <t> </t>
        </is>
      </c>
      <c r="R158" s="1" t="inlineStr">
        <is>
          <t>978-5-386-14701-3</t>
        </is>
      </c>
      <c r="S158" s="1" t="inlineStr">
        <is>
          <t>9785386147013</t>
        </is>
      </c>
      <c r="T158" s="9" t="n">
        <v>10</v>
      </c>
      <c r="U158" s="1">
        <f>ROUNDUP(918.18*(1-$F$3),2)</f>
        <v/>
      </c>
      <c r="V158" s="1" t="n">
        <v>422</v>
      </c>
      <c r="Y158" s="1" t="inlineStr">
        <is>
          <t>Красивые вещи</t>
        </is>
      </c>
      <c r="Z158" s="1" t="inlineStr">
        <is>
          <t>18+</t>
        </is>
      </c>
      <c r="AA158" s="12" t="n">
        <v>44708</v>
      </c>
      <c r="AB158" s="1" t="inlineStr">
        <is>
          <t>Художественная литература</t>
        </is>
      </c>
      <c r="AC158" s="1" t="inlineStr">
        <is>
          <t>Зарубежная литература</t>
        </is>
      </c>
      <c r="AD158" s="1" t="inlineStr">
        <is>
          <t>Литература Америки и Австралии</t>
        </is>
      </c>
      <c r="AE158" s="1" t="inlineStr">
        <is>
          <t>газетная</t>
        </is>
      </c>
      <c r="AG158" s="1" t="n">
        <v>10435900</v>
      </c>
      <c r="AI158" s="1" t="inlineStr">
        <is>
          <t>4901990000</t>
        </is>
      </c>
      <c r="AJ158" s="1" t="inlineStr">
        <is>
          <t>Зпв</t>
        </is>
      </c>
    </row>
    <row r="159" customFormat="1" s="1">
      <c r="C159" s="1" t="inlineStr">
        <is>
          <t xml:space="preserve">10406790            </t>
        </is>
      </c>
      <c r="D159" s="1" t="inlineStr">
        <is>
          <t>Book&amp;Travel</t>
        </is>
      </c>
      <c r="E159" s="1" t="inlineStr">
        <is>
          <t>Кровавый апельсин. Тайс Г.</t>
        </is>
      </c>
      <c r="F159" s="13" t="inlineStr">
        <is>
          <t>См.обл.</t>
        </is>
      </c>
      <c r="G159" s="1" t="inlineStr">
        <is>
          <t>Тайс Г.</t>
        </is>
      </c>
      <c r="H159" s="1" t="inlineStr">
        <is>
          <t>60х90/16</t>
        </is>
      </c>
      <c r="I159" s="1" t="n">
        <v>336</v>
      </c>
      <c r="J159" s="1" t="inlineStr">
        <is>
          <t>РИПОЛ Классик</t>
        </is>
      </c>
      <c r="M159" s="1" t="inlineStr">
        <is>
          <t>2022</t>
        </is>
      </c>
      <c r="N159" s="1" t="inlineStr">
        <is>
          <t>О</t>
        </is>
      </c>
      <c r="O159" s="9" t="n">
        <v>7</v>
      </c>
      <c r="P159" s="1">
        <f>ROUNDUP(910*(1-$F$3),2)</f>
        <v/>
      </c>
      <c r="Q159" s="1" t="inlineStr">
        <is>
          <t> </t>
        </is>
      </c>
      <c r="R159" s="1" t="inlineStr">
        <is>
          <t>978-5-386-14703-7</t>
        </is>
      </c>
      <c r="S159" s="1" t="inlineStr">
        <is>
          <t>9785386147037</t>
        </is>
      </c>
      <c r="T159" s="9" t="n">
        <v>10</v>
      </c>
      <c r="U159" s="1">
        <f>ROUNDUP(827.27*(1-$F$3),2)</f>
        <v/>
      </c>
      <c r="V159" s="1" t="n">
        <v>284</v>
      </c>
      <c r="Y159" s="1" t="inlineStr">
        <is>
          <t>Кровавый апельсин</t>
        </is>
      </c>
      <c r="Z159" s="1" t="inlineStr">
        <is>
          <t>18+</t>
        </is>
      </c>
      <c r="AA159" s="12" t="n">
        <v>44698</v>
      </c>
      <c r="AB159" s="1" t="inlineStr">
        <is>
          <t>Художественная литература</t>
        </is>
      </c>
      <c r="AC159" s="1" t="inlineStr">
        <is>
          <t>Зарубежная литература</t>
        </is>
      </c>
      <c r="AD159" s="1" t="inlineStr">
        <is>
          <t>Европейская литература</t>
        </is>
      </c>
      <c r="AE159" s="1" t="inlineStr">
        <is>
          <t>офсетная</t>
        </is>
      </c>
      <c r="AG159" s="1" t="n">
        <v>10406790</v>
      </c>
      <c r="AI159" s="1" t="inlineStr">
        <is>
          <t>4901990000</t>
        </is>
      </c>
      <c r="AJ159" s="1" t="inlineStr">
        <is>
          <t>Зпв</t>
        </is>
      </c>
    </row>
    <row r="160" customFormat="1" s="1">
      <c r="C160" s="1" t="inlineStr">
        <is>
          <t xml:space="preserve">10536530            </t>
        </is>
      </c>
      <c r="D160" s="1" t="inlineStr">
        <is>
          <t>Book&amp;Travel</t>
        </is>
      </c>
      <c r="E160" s="1" t="inlineStr">
        <is>
          <t>Мексиканская готика. Морено-Гарсиа С.</t>
        </is>
      </c>
      <c r="F160" s="13" t="inlineStr">
        <is>
          <t>См.обл.</t>
        </is>
      </c>
      <c r="G160" s="1" t="inlineStr">
        <is>
          <t>Морено-Гарсиа С.</t>
        </is>
      </c>
      <c r="H160" s="1" t="inlineStr">
        <is>
          <t>60х90/16</t>
        </is>
      </c>
      <c r="I160" s="1" t="n">
        <v>352</v>
      </c>
      <c r="J160" s="1" t="inlineStr">
        <is>
          <t>РИПОЛ Классик</t>
        </is>
      </c>
      <c r="M160" s="1" t="inlineStr">
        <is>
          <t>2022</t>
        </is>
      </c>
      <c r="N160" s="1" t="inlineStr">
        <is>
          <t>О</t>
        </is>
      </c>
      <c r="O160" s="9" t="n">
        <v>8</v>
      </c>
      <c r="P160" s="1">
        <f>ROUNDUP(780*(1-$F$3),2)</f>
        <v/>
      </c>
      <c r="Q160" s="1" t="inlineStr">
        <is>
          <t> </t>
        </is>
      </c>
      <c r="R160" s="1" t="inlineStr">
        <is>
          <t>978-5-386-14740-2</t>
        </is>
      </c>
      <c r="S160" s="1" t="inlineStr">
        <is>
          <t>9785386147402</t>
        </is>
      </c>
      <c r="T160" s="9" t="n">
        <v>10</v>
      </c>
      <c r="U160" s="1">
        <f>ROUNDUP(709.09*(1-$F$3),2)</f>
        <v/>
      </c>
      <c r="V160" s="1" t="n">
        <v>293</v>
      </c>
      <c r="Y160" s="1" t="inlineStr">
        <is>
          <t>Мексиканская готика</t>
        </is>
      </c>
      <c r="Z160" s="1" t="inlineStr">
        <is>
          <t>16+</t>
        </is>
      </c>
      <c r="AA160" s="12" t="n">
        <v>44827</v>
      </c>
      <c r="AB160" s="1" t="inlineStr">
        <is>
          <t>Художественная литература</t>
        </is>
      </c>
      <c r="AC160" s="1" t="inlineStr">
        <is>
          <t>Детективы. Боевики. Триллеры</t>
        </is>
      </c>
      <c r="AD160" s="1" t="inlineStr">
        <is>
          <t>Зарубежный детектив</t>
        </is>
      </c>
      <c r="AE160" s="1" t="inlineStr">
        <is>
          <t>офсетная</t>
        </is>
      </c>
      <c r="AG160" s="1" t="n">
        <v>10536530</v>
      </c>
      <c r="AI160" s="1" t="inlineStr">
        <is>
          <t>4901990000</t>
        </is>
      </c>
      <c r="AJ160" s="1" t="inlineStr">
        <is>
          <t>Зпв</t>
        </is>
      </c>
    </row>
    <row r="161" customFormat="1" s="1">
      <c r="C161" s="1" t="inlineStr">
        <is>
          <t xml:space="preserve">10409380            </t>
        </is>
      </c>
      <c r="D161" s="1" t="inlineStr">
        <is>
          <t>Book&amp;Travel</t>
        </is>
      </c>
      <c r="E161" s="1" t="inlineStr">
        <is>
          <t>Новая земля. Пробуждение к своей жизненной цели. Толле Э.</t>
        </is>
      </c>
      <c r="F161" s="13" t="inlineStr">
        <is>
          <t>См.обл.</t>
        </is>
      </c>
      <c r="G161" s="1" t="inlineStr">
        <is>
          <t>Толле Э.</t>
        </is>
      </c>
      <c r="H161" s="1" t="inlineStr">
        <is>
          <t>60х90/16</t>
        </is>
      </c>
      <c r="I161" s="1" t="n">
        <v>336</v>
      </c>
      <c r="J161" s="1" t="inlineStr">
        <is>
          <t>РИПОЛ Классик</t>
        </is>
      </c>
      <c r="M161" s="1" t="inlineStr">
        <is>
          <t>2022</t>
        </is>
      </c>
      <c r="N161" s="1" t="inlineStr">
        <is>
          <t>О</t>
        </is>
      </c>
      <c r="O161" s="9" t="n">
        <v>8</v>
      </c>
      <c r="P161" s="1">
        <f>ROUNDUP(860*(1-$F$3),2)</f>
        <v/>
      </c>
      <c r="Q161" s="1" t="inlineStr">
        <is>
          <t> </t>
        </is>
      </c>
      <c r="R161" s="1" t="inlineStr">
        <is>
          <t>978-5-386-14756-3</t>
        </is>
      </c>
      <c r="S161" s="1" t="inlineStr">
        <is>
          <t>9785386147563</t>
        </is>
      </c>
      <c r="T161" s="9" t="n">
        <v>22</v>
      </c>
      <c r="U161" s="1">
        <f>ROUNDUP(704.92*(1-$F$3),2)</f>
        <v/>
      </c>
      <c r="V161" s="1" t="n">
        <v>279</v>
      </c>
      <c r="Y161" s="1" t="inlineStr">
        <is>
          <t>Новая земля. Пробуждение к своей жизненной цели</t>
        </is>
      </c>
      <c r="Z161" s="1" t="inlineStr">
        <is>
          <t>12+</t>
        </is>
      </c>
      <c r="AA161" s="12" t="n">
        <v>44701</v>
      </c>
      <c r="AB161" s="1" t="inlineStr">
        <is>
          <t>Религии. Эзотерика. Оккультизм</t>
        </is>
      </c>
      <c r="AC161" s="1" t="inlineStr">
        <is>
          <t>Эзотерика. Парапсихология. Тайны</t>
        </is>
      </c>
      <c r="AD161" s="1" t="inlineStr">
        <is>
          <t>Эзотерические учения. Теософия</t>
        </is>
      </c>
      <c r="AE161" s="1" t="inlineStr">
        <is>
          <t>газетная</t>
        </is>
      </c>
      <c r="AG161" s="1" t="n">
        <v>10409380</v>
      </c>
      <c r="AI161" s="1" t="inlineStr">
        <is>
          <t>4901990000</t>
        </is>
      </c>
    </row>
    <row r="162" customFormat="1" s="1">
      <c r="C162" s="1" t="inlineStr">
        <is>
          <t xml:space="preserve">10408430            </t>
        </is>
      </c>
      <c r="D162" s="1" t="inlineStr">
        <is>
          <t>Book&amp;Travel</t>
        </is>
      </c>
      <c r="E162" s="1" t="inlineStr">
        <is>
          <t>Тени тевтонов. Иванов А.В.</t>
        </is>
      </c>
      <c r="F162" s="13" t="inlineStr">
        <is>
          <t>См.обл.</t>
        </is>
      </c>
      <c r="G162" s="1" t="inlineStr">
        <is>
          <t>Иванов А.В.</t>
        </is>
      </c>
      <c r="H162" s="1" t="inlineStr">
        <is>
          <t>60х90/16</t>
        </is>
      </c>
      <c r="I162" s="1" t="n">
        <v>384</v>
      </c>
      <c r="J162" s="1" t="inlineStr">
        <is>
          <t>РИПОЛ Классик</t>
        </is>
      </c>
      <c r="M162" s="1" t="inlineStr">
        <is>
          <t>2024</t>
        </is>
      </c>
      <c r="N162" s="1" t="inlineStr">
        <is>
          <t>О</t>
        </is>
      </c>
      <c r="O162" s="9" t="n">
        <v>6</v>
      </c>
      <c r="P162" s="1">
        <f>ROUNDUP(920*(1-$F$3),2)</f>
        <v/>
      </c>
      <c r="Q162" s="1" t="inlineStr">
        <is>
          <t> </t>
        </is>
      </c>
      <c r="R162" s="1" t="inlineStr">
        <is>
          <t>978-5-386-14718-1</t>
        </is>
      </c>
      <c r="S162" s="1" t="inlineStr">
        <is>
          <t>9785386147181</t>
        </is>
      </c>
      <c r="T162" s="9" t="n">
        <v>10</v>
      </c>
      <c r="U162" s="1">
        <f>ROUNDUP(836.36*(1-$F$3),2)</f>
        <v/>
      </c>
      <c r="V162" s="1" t="n">
        <v>267</v>
      </c>
      <c r="Y162" s="1" t="inlineStr">
        <is>
          <t>Тени тевтонов</t>
        </is>
      </c>
      <c r="Z162" s="1" t="inlineStr">
        <is>
          <t>16+</t>
        </is>
      </c>
      <c r="AA162" s="12" t="n">
        <v>44701</v>
      </c>
      <c r="AB162" s="1" t="inlineStr">
        <is>
          <t>Художественная литература</t>
        </is>
      </c>
      <c r="AC162" s="1" t="inlineStr">
        <is>
          <t>Историческая проза</t>
        </is>
      </c>
      <c r="AD162" s="1" t="inlineStr">
        <is>
          <t>Русская историческая проза</t>
        </is>
      </c>
      <c r="AE162" s="1" t="inlineStr">
        <is>
          <t>офсетная</t>
        </is>
      </c>
      <c r="AG162" s="1" t="n">
        <v>10408430</v>
      </c>
      <c r="AI162" s="1" t="inlineStr">
        <is>
          <t>4901990000</t>
        </is>
      </c>
    </row>
    <row r="163" customFormat="1" s="1">
      <c r="C163" s="1" t="inlineStr">
        <is>
          <t xml:space="preserve">10452720            </t>
        </is>
      </c>
      <c r="D163" s="1" t="inlineStr">
        <is>
          <t>Book&amp;Travel</t>
        </is>
      </c>
      <c r="E163" s="1" t="inlineStr">
        <is>
          <t>Уолден, или Жизнь в лесу. Торо Г.Д.</t>
        </is>
      </c>
      <c r="F163" s="13" t="inlineStr">
        <is>
          <t>См.обл.</t>
        </is>
      </c>
      <c r="G163" s="1" t="inlineStr">
        <is>
          <t>Торо Г.Д.</t>
        </is>
      </c>
      <c r="H163" s="1" t="inlineStr">
        <is>
          <t>60х90/16</t>
        </is>
      </c>
      <c r="I163" s="1" t="n">
        <v>544</v>
      </c>
      <c r="J163" s="1" t="inlineStr">
        <is>
          <t>РИПОЛ Классик</t>
        </is>
      </c>
      <c r="M163" s="1" t="inlineStr">
        <is>
          <t>2022</t>
        </is>
      </c>
      <c r="N163" s="1" t="inlineStr">
        <is>
          <t>О</t>
        </is>
      </c>
      <c r="O163" s="9" t="n">
        <v>5</v>
      </c>
      <c r="P163" s="1">
        <f>ROUNDUP(890*(1-$F$3),2)</f>
        <v/>
      </c>
      <c r="Q163" s="1" t="inlineStr">
        <is>
          <t> </t>
        </is>
      </c>
      <c r="R163" s="1" t="inlineStr">
        <is>
          <t>978-5-386-14792-1</t>
        </is>
      </c>
      <c r="S163" s="1" t="inlineStr">
        <is>
          <t>9785386147921</t>
        </is>
      </c>
      <c r="T163" s="9" t="n">
        <v>10</v>
      </c>
      <c r="U163" s="1">
        <f>ROUNDUP(809.09*(1-$F$3),2)</f>
        <v/>
      </c>
      <c r="V163" s="1" t="n">
        <v>452</v>
      </c>
      <c r="Y163" s="1" t="inlineStr">
        <is>
          <t>Уолден, или Жизнь в лесу</t>
        </is>
      </c>
      <c r="Z163" s="1" t="inlineStr">
        <is>
          <t>16+</t>
        </is>
      </c>
      <c r="AA163" s="12" t="n">
        <v>44713</v>
      </c>
      <c r="AB163" s="1" t="inlineStr">
        <is>
          <t>Художественная литература</t>
        </is>
      </c>
      <c r="AC163" s="1" t="inlineStr">
        <is>
          <t>Зарубежная литература</t>
        </is>
      </c>
      <c r="AD163" s="1" t="inlineStr">
        <is>
          <t>Литература Америки и Австралии</t>
        </is>
      </c>
      <c r="AE163" s="1" t="inlineStr">
        <is>
          <t>газетная</t>
        </is>
      </c>
      <c r="AG163" s="1" t="n">
        <v>10452720</v>
      </c>
      <c r="AI163" s="1" t="inlineStr">
        <is>
          <t>4901990000</t>
        </is>
      </c>
    </row>
    <row r="164" customFormat="1" s="1">
      <c r="C164" s="1" t="inlineStr">
        <is>
          <t xml:space="preserve">8679320             </t>
        </is>
      </c>
      <c r="D164" s="1" t="inlineStr">
        <is>
          <t>Feel Good</t>
        </is>
      </c>
      <c r="E164" s="1" t="inlineStr">
        <is>
          <t>Маленькая красная записная книжка. Лундберг С.</t>
        </is>
      </c>
      <c r="F164" s="13" t="inlineStr">
        <is>
          <t>См.обл.</t>
        </is>
      </c>
      <c r="G164" s="1" t="inlineStr">
        <is>
          <t>Лундберг С.</t>
        </is>
      </c>
      <c r="H164" s="1" t="inlineStr">
        <is>
          <t>84х108/32</t>
        </is>
      </c>
      <c r="I164" s="1" t="n">
        <v>320</v>
      </c>
      <c r="J164" s="1" t="inlineStr">
        <is>
          <t>РИПОЛ Классик</t>
        </is>
      </c>
      <c r="M164" s="1" t="inlineStr">
        <is>
          <t>2018</t>
        </is>
      </c>
      <c r="N164" s="1" t="inlineStr">
        <is>
          <t>П</t>
        </is>
      </c>
      <c r="O164" s="9" t="n">
        <v>18</v>
      </c>
      <c r="P164" s="1">
        <f>ROUNDUP(956.8*(1-$F$3),2)</f>
        <v/>
      </c>
      <c r="Q164" s="1" t="inlineStr">
        <is>
          <t> </t>
        </is>
      </c>
      <c r="R164" s="1" t="inlineStr">
        <is>
          <t>978-5-386-10927-1</t>
        </is>
      </c>
      <c r="S164" s="1" t="inlineStr">
        <is>
          <t>9785386109271</t>
        </is>
      </c>
      <c r="T164" s="9" t="n">
        <v>10</v>
      </c>
      <c r="U164" s="1">
        <f>ROUNDUP(869.82*(1-$F$3),2)</f>
        <v/>
      </c>
      <c r="V164" s="1" t="n">
        <v>323</v>
      </c>
      <c r="Y164" s="1" t="inlineStr">
        <is>
          <t>Маленькая красная записная книжка</t>
        </is>
      </c>
      <c r="Z164" s="1" t="inlineStr">
        <is>
          <t>16+</t>
        </is>
      </c>
      <c r="AA164" s="12" t="n">
        <v>43269</v>
      </c>
      <c r="AB164" s="1" t="inlineStr">
        <is>
          <t>Художественная литература</t>
        </is>
      </c>
      <c r="AC164" s="1" t="inlineStr">
        <is>
          <t>Зарубежная литература</t>
        </is>
      </c>
      <c r="AD164" s="1" t="inlineStr">
        <is>
          <t>Европейская литература</t>
        </is>
      </c>
      <c r="AE164" s="1" t="inlineStr">
        <is>
          <t>газетная</t>
        </is>
      </c>
      <c r="AG164" s="1" t="n">
        <v>8679320</v>
      </c>
      <c r="AI164" s="1" t="inlineStr">
        <is>
          <t>4901990000</t>
        </is>
      </c>
    </row>
    <row r="165" customFormat="1" s="1">
      <c r="C165" s="1" t="inlineStr">
        <is>
          <t xml:space="preserve">9675950             </t>
        </is>
      </c>
      <c r="D165" s="1" t="inlineStr">
        <is>
          <t>Feel Good</t>
        </is>
      </c>
      <c r="E165" s="1" t="inlineStr">
        <is>
          <t>Смотреть на звезды. Вопрос - половинка сердца. Лундберг С.</t>
        </is>
      </c>
      <c r="F165" s="13" t="inlineStr">
        <is>
          <t>См.обл.</t>
        </is>
      </c>
      <c r="G165" s="1" t="inlineStr">
        <is>
          <t>Лундберг С.</t>
        </is>
      </c>
      <c r="H165" s="1" t="inlineStr">
        <is>
          <t>84х108/32</t>
        </is>
      </c>
      <c r="I165" s="1" t="n">
        <v>368</v>
      </c>
      <c r="J165" s="1" t="inlineStr">
        <is>
          <t>РИПОЛ Классик</t>
        </is>
      </c>
      <c r="M165" s="1" t="inlineStr">
        <is>
          <t>2021</t>
        </is>
      </c>
      <c r="N165" s="1" t="inlineStr">
        <is>
          <t>П</t>
        </is>
      </c>
      <c r="O165" s="9" t="n">
        <v>10</v>
      </c>
      <c r="P165" s="1">
        <f>ROUNDUP(1160*(1-$F$3),2)</f>
        <v/>
      </c>
      <c r="Q165" s="1" t="inlineStr">
        <is>
          <t> </t>
        </is>
      </c>
      <c r="R165" s="1" t="inlineStr">
        <is>
          <t>978-5-386-14200-1</t>
        </is>
      </c>
      <c r="S165" s="1" t="inlineStr">
        <is>
          <t>9785386142001</t>
        </is>
      </c>
      <c r="T165" s="9" t="n">
        <v>10</v>
      </c>
      <c r="U165" s="1">
        <f>ROUNDUP(1054.55*(1-$F$3),2)</f>
        <v/>
      </c>
      <c r="V165" s="1" t="n">
        <v>399</v>
      </c>
      <c r="Y165" s="1" t="inlineStr">
        <is>
          <t>Смотреть на звезды. Вопрос - половинка сердца</t>
        </is>
      </c>
      <c r="Z165" s="1" t="inlineStr">
        <is>
          <t>16+</t>
        </is>
      </c>
      <c r="AA165" s="12" t="n">
        <v>44304</v>
      </c>
      <c r="AB165" s="1" t="inlineStr">
        <is>
          <t>Художественная литература</t>
        </is>
      </c>
      <c r="AC165" s="1" t="inlineStr">
        <is>
          <t>Сентиментальная проза</t>
        </is>
      </c>
      <c r="AD165" s="1" t="inlineStr">
        <is>
          <t>Зарубежный сентиментальный роман</t>
        </is>
      </c>
      <c r="AE165" s="1" t="inlineStr">
        <is>
          <t>офсетная</t>
        </is>
      </c>
      <c r="AG165" s="1" t="n">
        <v>9675950</v>
      </c>
      <c r="AI165" s="1" t="inlineStr">
        <is>
          <t>4901990000</t>
        </is>
      </c>
    </row>
    <row r="166" customFormat="1" s="1">
      <c r="C166" s="1" t="inlineStr">
        <is>
          <t xml:space="preserve">11287240            </t>
        </is>
      </c>
      <c r="D166" s="1" t="inlineStr">
        <is>
          <t>Good Novel</t>
        </is>
      </c>
      <c r="E166" s="1" t="inlineStr">
        <is>
          <t>Никогда не поздно стать счастливой. Хайке А.</t>
        </is>
      </c>
      <c r="F166" s="13" t="inlineStr">
        <is>
          <t>См.обл.</t>
        </is>
      </c>
      <c r="G166" s="1" t="inlineStr">
        <is>
          <t>Хайке А.</t>
        </is>
      </c>
      <c r="H166" s="1" t="inlineStr">
        <is>
          <t>84х108/32</t>
        </is>
      </c>
      <c r="I166" s="1" t="n">
        <v>336</v>
      </c>
      <c r="J166" s="1" t="inlineStr">
        <is>
          <t>РИПОЛ Классик</t>
        </is>
      </c>
      <c r="M166" s="1" t="inlineStr">
        <is>
          <t>2024</t>
        </is>
      </c>
      <c r="N166" s="1" t="inlineStr">
        <is>
          <t>П</t>
        </is>
      </c>
      <c r="O166" s="9" t="n">
        <v>12</v>
      </c>
      <c r="P166" s="1">
        <f>ROUNDUP(1050*(1-$F$3),2)</f>
        <v/>
      </c>
      <c r="Q166" s="1" t="inlineStr">
        <is>
          <t> </t>
        </is>
      </c>
      <c r="R166" s="1" t="inlineStr">
        <is>
          <t>978-5-386-15054-9</t>
        </is>
      </c>
      <c r="S166" s="1" t="inlineStr">
        <is>
          <t>9785386150549</t>
        </is>
      </c>
      <c r="T166" s="9" t="n">
        <v>10</v>
      </c>
      <c r="U166" s="1">
        <f>ROUNDUP(954.55*(1-$F$3),2)</f>
        <v/>
      </c>
      <c r="V166" s="1" t="n">
        <v>298</v>
      </c>
      <c r="Y166" s="1" t="inlineStr">
        <is>
          <t>Никогда не поздно стать счастливой</t>
        </is>
      </c>
      <c r="Z166" s="1" t="inlineStr">
        <is>
          <t>16+</t>
        </is>
      </c>
      <c r="AA166" s="12" t="n">
        <v>45426</v>
      </c>
      <c r="AB166" s="1" t="inlineStr">
        <is>
          <t>Художественная литература</t>
        </is>
      </c>
      <c r="AC166" s="1" t="inlineStr">
        <is>
          <t>Зарубежная литература</t>
        </is>
      </c>
      <c r="AD166" s="1" t="inlineStr">
        <is>
          <t>Европейская литература</t>
        </is>
      </c>
      <c r="AE166" s="1" t="inlineStr">
        <is>
          <t>офсетная</t>
        </is>
      </c>
      <c r="AG166" s="1" t="n">
        <v>11287240</v>
      </c>
      <c r="AI166" s="1" t="inlineStr">
        <is>
          <t>4901990000</t>
        </is>
      </c>
    </row>
    <row r="167" customFormat="1" s="1">
      <c r="C167" s="1" t="inlineStr">
        <is>
          <t xml:space="preserve">11287230            </t>
        </is>
      </c>
      <c r="D167" s="1" t="inlineStr">
        <is>
          <t>Good Novel</t>
        </is>
      </c>
      <c r="E167" s="1" t="inlineStr">
        <is>
          <t>Улыбка зари. Ришмон Б., де</t>
        </is>
      </c>
      <c r="F167" s="13" t="inlineStr">
        <is>
          <t>См.обл.</t>
        </is>
      </c>
      <c r="G167" s="1" t="inlineStr">
        <is>
          <t>Ришмон Б., де</t>
        </is>
      </c>
      <c r="H167" s="1" t="inlineStr">
        <is>
          <t>84х108/32</t>
        </is>
      </c>
      <c r="I167" s="1" t="n">
        <v>208</v>
      </c>
      <c r="J167" s="1" t="inlineStr">
        <is>
          <t>РИПОЛ Классик</t>
        </is>
      </c>
      <c r="M167" s="1" t="inlineStr">
        <is>
          <t>2024</t>
        </is>
      </c>
      <c r="N167" s="1" t="inlineStr">
        <is>
          <t>П</t>
        </is>
      </c>
      <c r="O167" s="9" t="n">
        <v>16</v>
      </c>
      <c r="P167" s="1">
        <f>ROUNDUP(820*(1-$F$3),2)</f>
        <v/>
      </c>
      <c r="Q167" s="1" t="inlineStr">
        <is>
          <t> </t>
        </is>
      </c>
      <c r="R167" s="1" t="inlineStr">
        <is>
          <t>978-5-386-15050-1</t>
        </is>
      </c>
      <c r="S167" s="1" t="inlineStr">
        <is>
          <t>9785386150501</t>
        </is>
      </c>
      <c r="T167" s="9" t="n">
        <v>10</v>
      </c>
      <c r="U167" s="1">
        <f>ROUNDUP(745.45*(1-$F$3),2)</f>
        <v/>
      </c>
      <c r="V167" s="1" t="n">
        <v>219</v>
      </c>
      <c r="Y167" s="1" t="inlineStr">
        <is>
          <t>Улыбка зари</t>
        </is>
      </c>
      <c r="Z167" s="1" t="inlineStr">
        <is>
          <t>16+</t>
        </is>
      </c>
      <c r="AA167" s="12" t="n">
        <v>45426</v>
      </c>
      <c r="AB167" s="1" t="inlineStr">
        <is>
          <t>Художественная литература</t>
        </is>
      </c>
      <c r="AC167" s="1" t="inlineStr">
        <is>
          <t>Зарубежная литература</t>
        </is>
      </c>
      <c r="AD167" s="1" t="inlineStr">
        <is>
          <t>Европейская литература</t>
        </is>
      </c>
      <c r="AE167" s="1" t="inlineStr">
        <is>
          <t>офсетная</t>
        </is>
      </c>
      <c r="AG167" s="1" t="n">
        <v>11287230</v>
      </c>
      <c r="AI167" s="1" t="inlineStr">
        <is>
          <t>4901990000</t>
        </is>
      </c>
    </row>
    <row r="168" customFormat="1" s="1">
      <c r="C168" s="1" t="inlineStr">
        <is>
          <t xml:space="preserve">10535740            </t>
        </is>
      </c>
      <c r="D168" s="1" t="inlineStr">
        <is>
          <t>Grand Fantasy</t>
        </is>
      </c>
      <c r="E168" s="1" t="inlineStr">
        <is>
          <t>Багдадский Вор. Ахмед Абдулла</t>
        </is>
      </c>
      <c r="F168" s="13" t="inlineStr">
        <is>
          <t>См.обл.</t>
        </is>
      </c>
      <c r="G168" s="1" t="inlineStr">
        <is>
          <t>Ахмед Абдулла</t>
        </is>
      </c>
      <c r="H168" s="1" t="inlineStr">
        <is>
          <t>84х108/32</t>
        </is>
      </c>
      <c r="I168" s="1" t="n">
        <v>342</v>
      </c>
      <c r="J168" s="1" t="inlineStr">
        <is>
          <t>РИПОЛ Классик</t>
        </is>
      </c>
      <c r="M168" s="1" t="inlineStr">
        <is>
          <t>2022</t>
        </is>
      </c>
      <c r="N168" s="1" t="inlineStr">
        <is>
          <t>П</t>
        </is>
      </c>
      <c r="O168" s="9" t="n">
        <v>12</v>
      </c>
      <c r="P168" s="1">
        <f>ROUNDUP(1200*(1-$F$3),2)</f>
        <v/>
      </c>
      <c r="Q168" s="1" t="inlineStr">
        <is>
          <t> </t>
        </is>
      </c>
      <c r="R168" s="1" t="inlineStr">
        <is>
          <t>978-5-386-14744-0</t>
        </is>
      </c>
      <c r="S168" s="1" t="inlineStr">
        <is>
          <t>9785386147440</t>
        </is>
      </c>
      <c r="T168" s="9" t="n">
        <v>10</v>
      </c>
      <c r="U168" s="1">
        <f>ROUNDUP(1090.91*(1-$F$3),2)</f>
        <v/>
      </c>
      <c r="V168" s="1" t="n">
        <v>383</v>
      </c>
      <c r="Y168" s="1" t="inlineStr">
        <is>
          <t>Багдадский Вор</t>
        </is>
      </c>
      <c r="Z168" s="1" t="inlineStr">
        <is>
          <t>12+</t>
        </is>
      </c>
      <c r="AA168" s="12" t="n">
        <v>44775</v>
      </c>
      <c r="AB168" s="1" t="inlineStr">
        <is>
          <t>Художественная литература</t>
        </is>
      </c>
      <c r="AC168" s="1" t="inlineStr">
        <is>
          <t>Фантастика. Мистика. Ужасы</t>
        </is>
      </c>
      <c r="AD168" s="1" t="inlineStr">
        <is>
          <t>Фэнтези</t>
        </is>
      </c>
      <c r="AE168" s="1" t="inlineStr">
        <is>
          <t>офсетная</t>
        </is>
      </c>
      <c r="AG168" s="1" t="n">
        <v>10535740</v>
      </c>
      <c r="AI168" s="1" t="inlineStr">
        <is>
          <t>4901990000</t>
        </is>
      </c>
    </row>
    <row r="169" customFormat="1" s="1">
      <c r="C169" s="1" t="inlineStr">
        <is>
          <t xml:space="preserve">9859810             </t>
        </is>
      </c>
      <c r="D169" s="1" t="inlineStr">
        <is>
          <t>Grand Fantasy</t>
        </is>
      </c>
      <c r="E169" s="1" t="inlineStr">
        <is>
          <t>Джентльмен с Медвежьей речки. Говард Р.И.</t>
        </is>
      </c>
      <c r="F169" s="13" t="inlineStr">
        <is>
          <t>См.обл.</t>
        </is>
      </c>
      <c r="G169" s="1" t="inlineStr">
        <is>
          <t>Говард Р.И.</t>
        </is>
      </c>
      <c r="H169" s="1" t="inlineStr">
        <is>
          <t>84х108/32</t>
        </is>
      </c>
      <c r="I169" s="1" t="n">
        <v>352</v>
      </c>
      <c r="J169" s="1" t="inlineStr">
        <is>
          <t>РИПОЛ Классик</t>
        </is>
      </c>
      <c r="M169" s="1" t="inlineStr">
        <is>
          <t>2026</t>
        </is>
      </c>
      <c r="N169" s="1" t="inlineStr">
        <is>
          <t>П</t>
        </is>
      </c>
      <c r="O169" s="9" t="n">
        <v>10</v>
      </c>
      <c r="P169" s="1">
        <f>ROUNDUP(1390*(1-$F$3),2)</f>
        <v/>
      </c>
      <c r="Q169" s="1" t="inlineStr">
        <is>
          <t> </t>
        </is>
      </c>
      <c r="R169" s="1" t="inlineStr">
        <is>
          <t>978-5-386-14521-7</t>
        </is>
      </c>
      <c r="S169" s="1" t="inlineStr">
        <is>
          <t>9785386145217</t>
        </is>
      </c>
      <c r="T169" s="9" t="n">
        <v>10</v>
      </c>
      <c r="U169" s="1">
        <f>ROUNDUP(1263.64*(1-$F$3),2)</f>
        <v/>
      </c>
      <c r="V169" s="1" t="n">
        <v>351</v>
      </c>
      <c r="Y169" s="1" t="inlineStr">
        <is>
          <t>Джентльмен с Медвежьей речки</t>
        </is>
      </c>
      <c r="Z169" s="1" t="inlineStr">
        <is>
          <t>12+</t>
        </is>
      </c>
      <c r="AA169" s="12" t="n">
        <v>44522</v>
      </c>
      <c r="AB169" s="1" t="inlineStr">
        <is>
          <t>Художественная литература</t>
        </is>
      </c>
      <c r="AC169" s="1" t="inlineStr">
        <is>
          <t>Приключенческая проза</t>
        </is>
      </c>
      <c r="AD169" s="1" t="inlineStr">
        <is>
          <t>Зарубежная приключенческая проза</t>
        </is>
      </c>
      <c r="AE169" s="1" t="inlineStr">
        <is>
          <t>офсетная</t>
        </is>
      </c>
      <c r="AG169" s="1" t="n">
        <v>9859810</v>
      </c>
      <c r="AI169" s="1" t="inlineStr">
        <is>
          <t>4901990000</t>
        </is>
      </c>
    </row>
    <row r="170" customFormat="1" s="1">
      <c r="C170" s="1" t="inlineStr">
        <is>
          <t xml:space="preserve">10409710            </t>
        </is>
      </c>
      <c r="D170" s="1" t="inlineStr">
        <is>
          <t>Grand Fantasy</t>
        </is>
      </c>
      <c r="E170" s="1" t="inlineStr">
        <is>
          <t>Запретный лес. Бакен Дж.</t>
        </is>
      </c>
      <c r="F170" s="13" t="inlineStr">
        <is>
          <t>См.обл.</t>
        </is>
      </c>
      <c r="G170" s="1" t="inlineStr">
        <is>
          <t>Бакен Дж.</t>
        </is>
      </c>
      <c r="H170" s="1" t="inlineStr">
        <is>
          <t>84х108/32</t>
        </is>
      </c>
      <c r="I170" s="1" t="n">
        <v>432</v>
      </c>
      <c r="J170" s="1" t="inlineStr">
        <is>
          <t>РИПОЛ Классик</t>
        </is>
      </c>
      <c r="M170" s="1" t="inlineStr">
        <is>
          <t>2025</t>
        </is>
      </c>
      <c r="N170" s="1" t="inlineStr">
        <is>
          <t>П</t>
        </is>
      </c>
      <c r="O170" s="9" t="n">
        <v>5</v>
      </c>
      <c r="P170" s="1">
        <f>ROUNDUP(1670*(1-$F$3),2)</f>
        <v/>
      </c>
      <c r="Q170" s="1" t="inlineStr">
        <is>
          <t> </t>
        </is>
      </c>
      <c r="R170" s="1" t="inlineStr">
        <is>
          <t>978-5-386-14727-3</t>
        </is>
      </c>
      <c r="S170" s="1" t="inlineStr">
        <is>
          <t>9785386147273</t>
        </is>
      </c>
      <c r="T170" s="9" t="n">
        <v>10</v>
      </c>
      <c r="U170" s="1">
        <f>ROUNDUP(1518.18*(1-$F$3),2)</f>
        <v/>
      </c>
      <c r="V170" s="1" t="n">
        <v>411</v>
      </c>
      <c r="Y170" s="1" t="inlineStr">
        <is>
          <t>Запретный лес</t>
        </is>
      </c>
      <c r="Z170" s="1" t="inlineStr">
        <is>
          <t>16+</t>
        </is>
      </c>
      <c r="AA170" s="12" t="n">
        <v>44742</v>
      </c>
      <c r="AB170" s="1" t="inlineStr">
        <is>
          <t>Художественная литература</t>
        </is>
      </c>
      <c r="AC170" s="1" t="inlineStr">
        <is>
          <t>Фантастика. Мистика. Ужасы</t>
        </is>
      </c>
      <c r="AD170" s="1" t="inlineStr">
        <is>
          <t>Фэнтези</t>
        </is>
      </c>
      <c r="AE170" s="1" t="inlineStr">
        <is>
          <t>офсетная</t>
        </is>
      </c>
      <c r="AG170" s="1" t="n">
        <v>10409710</v>
      </c>
      <c r="AI170" s="1" t="inlineStr">
        <is>
          <t>4901990000</t>
        </is>
      </c>
    </row>
    <row r="171" customFormat="1" s="1">
      <c r="C171" s="1" t="inlineStr">
        <is>
          <t xml:space="preserve">9855480             </t>
        </is>
      </c>
      <c r="D171" s="1" t="inlineStr">
        <is>
          <t>Grand Fantasy</t>
        </is>
      </c>
      <c r="E171" s="1" t="inlineStr">
        <is>
          <t>Из смерти в жизнь. Стэплдон О</t>
        </is>
      </c>
      <c r="F171" s="13" t="inlineStr">
        <is>
          <t>См.обл.</t>
        </is>
      </c>
      <c r="G171" s="1" t="inlineStr">
        <is>
          <t>Стэплдон О</t>
        </is>
      </c>
      <c r="H171" s="1" t="inlineStr">
        <is>
          <t>84х108/32</t>
        </is>
      </c>
      <c r="I171" s="1" t="n">
        <v>256</v>
      </c>
      <c r="J171" s="1" t="inlineStr">
        <is>
          <t>РИПОЛ Классик</t>
        </is>
      </c>
      <c r="M171" s="1" t="inlineStr">
        <is>
          <t>2021</t>
        </is>
      </c>
      <c r="N171" s="1" t="inlineStr">
        <is>
          <t>П</t>
        </is>
      </c>
      <c r="O171" s="9" t="n">
        <v>12</v>
      </c>
      <c r="P171" s="1">
        <f>ROUNDUP(1010*(1-$F$3),2)</f>
        <v/>
      </c>
      <c r="Q171" s="1" t="inlineStr">
        <is>
          <t> </t>
        </is>
      </c>
      <c r="R171" s="1" t="inlineStr">
        <is>
          <t>978-5-386-14468-5</t>
        </is>
      </c>
      <c r="S171" s="1" t="inlineStr">
        <is>
          <t>9785386144685</t>
        </is>
      </c>
      <c r="T171" s="9" t="n">
        <v>10</v>
      </c>
      <c r="U171" s="1">
        <f>ROUNDUP(918.18*(1-$F$3),2)</f>
        <v/>
      </c>
      <c r="V171" s="1" t="n">
        <v>303</v>
      </c>
      <c r="Y171" s="1" t="inlineStr">
        <is>
          <t>Из смерти в жизнь</t>
        </is>
      </c>
      <c r="Z171" s="1" t="inlineStr">
        <is>
          <t>16+</t>
        </is>
      </c>
      <c r="AA171" s="12" t="n">
        <v>44496</v>
      </c>
      <c r="AB171" s="1" t="inlineStr">
        <is>
          <t>Художественная литература</t>
        </is>
      </c>
      <c r="AC171" s="1" t="inlineStr">
        <is>
          <t>Фантастика. Мистика. Ужасы</t>
        </is>
      </c>
      <c r="AD171" s="1" t="inlineStr">
        <is>
          <t>Зарубежная фантастика</t>
        </is>
      </c>
      <c r="AE171" s="1" t="inlineStr">
        <is>
          <t>офсетная</t>
        </is>
      </c>
      <c r="AG171" s="1" t="n">
        <v>9855480</v>
      </c>
      <c r="AI171" s="1" t="inlineStr">
        <is>
          <t>4901990000</t>
        </is>
      </c>
      <c r="AJ171" s="1" t="inlineStr">
        <is>
          <t>Зпв</t>
        </is>
      </c>
    </row>
    <row r="172" customFormat="1" s="1">
      <c r="C172" s="1" t="inlineStr">
        <is>
          <t xml:space="preserve">10945370            </t>
        </is>
      </c>
      <c r="D172" s="1" t="inlineStr">
        <is>
          <t>Grand Fantasy</t>
        </is>
      </c>
      <c r="E172" s="1" t="inlineStr">
        <is>
          <t>Незрячие драконы. Моррис К.</t>
        </is>
      </c>
      <c r="F172" s="13" t="inlineStr">
        <is>
          <t>См.обл.</t>
        </is>
      </c>
      <c r="G172" s="1" t="inlineStr">
        <is>
          <t>Моррис К.</t>
        </is>
      </c>
      <c r="H172" s="1" t="inlineStr">
        <is>
          <t>84х108/32</t>
        </is>
      </c>
      <c r="I172" s="1" t="n">
        <v>352</v>
      </c>
      <c r="J172" s="1" t="inlineStr">
        <is>
          <t>РИПОЛ Классик</t>
        </is>
      </c>
      <c r="M172" s="1" t="inlineStr">
        <is>
          <t>2023</t>
        </is>
      </c>
      <c r="N172" s="1" t="inlineStr">
        <is>
          <t>П</t>
        </is>
      </c>
      <c r="O172" s="9" t="n">
        <v>8</v>
      </c>
      <c r="P172" s="1">
        <f>ROUNDUP(1200*(1-$F$3),2)</f>
        <v/>
      </c>
      <c r="Q172" s="1" t="inlineStr">
        <is>
          <t> </t>
        </is>
      </c>
      <c r="R172" s="1" t="inlineStr">
        <is>
          <t>978-5-386-14987-1</t>
        </is>
      </c>
      <c r="S172" s="1" t="inlineStr">
        <is>
          <t>9785386149871</t>
        </is>
      </c>
      <c r="T172" s="9" t="n">
        <v>10</v>
      </c>
      <c r="U172" s="1">
        <f>ROUNDUP(1090.91*(1-$F$3),2)</f>
        <v/>
      </c>
      <c r="V172" s="1" t="n">
        <v>371</v>
      </c>
      <c r="Y172" s="1" t="inlineStr">
        <is>
          <t>Незрячие драконы</t>
        </is>
      </c>
      <c r="Z172" s="1" t="inlineStr">
        <is>
          <t>16+</t>
        </is>
      </c>
      <c r="AA172" s="12" t="n">
        <v>45109</v>
      </c>
      <c r="AB172" s="1" t="inlineStr">
        <is>
          <t>Художественная литература</t>
        </is>
      </c>
      <c r="AC172" s="1" t="inlineStr">
        <is>
          <t>Фантастика. Мистика. Ужасы</t>
        </is>
      </c>
      <c r="AD172" s="1" t="inlineStr">
        <is>
          <t>Фэнтези</t>
        </is>
      </c>
      <c r="AE172" s="1" t="inlineStr">
        <is>
          <t>офсетная</t>
        </is>
      </c>
      <c r="AG172" s="1" t="n">
        <v>10945370</v>
      </c>
      <c r="AI172" s="1" t="inlineStr">
        <is>
          <t>4901990000</t>
        </is>
      </c>
    </row>
    <row r="173" customFormat="1" s="1">
      <c r="C173" s="1" t="inlineStr">
        <is>
          <t xml:space="preserve">9861510             </t>
        </is>
      </c>
      <c r="D173" s="1" t="inlineStr">
        <is>
          <t>Grand Fantasy</t>
        </is>
      </c>
      <c r="E173" s="1" t="inlineStr">
        <is>
          <t>Повесть о Роскошной и Манящей Равнине. Моррис У.</t>
        </is>
      </c>
      <c r="F173" s="13" t="inlineStr">
        <is>
          <t>См.обл.</t>
        </is>
      </c>
      <c r="G173" s="1" t="inlineStr">
        <is>
          <t>Моррис У.</t>
        </is>
      </c>
      <c r="H173" s="1" t="inlineStr">
        <is>
          <t>84х108/32</t>
        </is>
      </c>
      <c r="I173" s="1" t="n">
        <v>336</v>
      </c>
      <c r="J173" s="1" t="inlineStr">
        <is>
          <t>РИПОЛ Классик</t>
        </is>
      </c>
      <c r="M173" s="1" t="inlineStr">
        <is>
          <t>2021</t>
        </is>
      </c>
      <c r="N173" s="1" t="inlineStr">
        <is>
          <t>П</t>
        </is>
      </c>
      <c r="O173" s="9" t="n">
        <v>8</v>
      </c>
      <c r="P173" s="1">
        <f>ROUNDUP(1180*(1-$F$3),2)</f>
        <v/>
      </c>
      <c r="Q173" s="1" t="inlineStr">
        <is>
          <t> </t>
        </is>
      </c>
      <c r="R173" s="1" t="inlineStr">
        <is>
          <t>978-5-386-14461-6</t>
        </is>
      </c>
      <c r="S173" s="1" t="inlineStr">
        <is>
          <t>9785386144616</t>
        </is>
      </c>
      <c r="T173" s="9" t="n">
        <v>10</v>
      </c>
      <c r="U173" s="1">
        <f>ROUNDUP(1072.73*(1-$F$3),2)</f>
        <v/>
      </c>
      <c r="V173" s="1" t="n">
        <v>383</v>
      </c>
      <c r="Y173" s="1" t="inlineStr">
        <is>
          <t>Повесть о Роскошной и Манящей Равнине</t>
        </is>
      </c>
      <c r="Z173" s="1" t="inlineStr">
        <is>
          <t>16+</t>
        </is>
      </c>
      <c r="AA173" s="12" t="n">
        <v>44522</v>
      </c>
      <c r="AB173" s="1" t="inlineStr">
        <is>
          <t>Художественная литература</t>
        </is>
      </c>
      <c r="AC173" s="1" t="inlineStr">
        <is>
          <t>Зарубежная литература</t>
        </is>
      </c>
      <c r="AD173" s="1" t="inlineStr">
        <is>
          <t>Европейская литература</t>
        </is>
      </c>
      <c r="AE173" s="1" t="inlineStr">
        <is>
          <t>офсетная</t>
        </is>
      </c>
      <c r="AG173" s="1" t="n">
        <v>9861510</v>
      </c>
      <c r="AI173" s="1" t="inlineStr">
        <is>
          <t>4901990000</t>
        </is>
      </c>
    </row>
    <row r="174" customFormat="1" s="1">
      <c r="C174" s="1" t="inlineStr">
        <is>
          <t xml:space="preserve">11375720            </t>
        </is>
      </c>
      <c r="D174" s="1" t="inlineStr">
        <is>
          <t>Grand Fantasy</t>
        </is>
      </c>
      <c r="E174" s="1" t="inlineStr">
        <is>
          <t>Регент Севера. Моррис К.</t>
        </is>
      </c>
      <c r="F174" s="13" t="inlineStr">
        <is>
          <t>См.обл.</t>
        </is>
      </c>
      <c r="G174" s="1" t="inlineStr">
        <is>
          <t>Моррис К.</t>
        </is>
      </c>
      <c r="H174" s="1" t="inlineStr">
        <is>
          <t>84х108/32</t>
        </is>
      </c>
      <c r="I174" s="1" t="n">
        <v>352</v>
      </c>
      <c r="J174" s="1" t="inlineStr">
        <is>
          <t>РИПОЛ Классик</t>
        </is>
      </c>
      <c r="M174" s="1" t="inlineStr">
        <is>
          <t>2024</t>
        </is>
      </c>
      <c r="N174" s="1" t="inlineStr">
        <is>
          <t>П</t>
        </is>
      </c>
      <c r="O174" s="9" t="n">
        <v>12</v>
      </c>
      <c r="P174" s="1">
        <f>ROUNDUP(1170*(1-$F$3),2)</f>
        <v/>
      </c>
      <c r="Q174" s="1" t="inlineStr">
        <is>
          <t> </t>
        </is>
      </c>
      <c r="R174" s="1" t="inlineStr">
        <is>
          <t>978-5-386-15210-9</t>
        </is>
      </c>
      <c r="S174" s="1" t="inlineStr">
        <is>
          <t>9785386152109</t>
        </is>
      </c>
      <c r="T174" s="9" t="n">
        <v>10</v>
      </c>
      <c r="U174" s="1">
        <f>ROUNDUP(1063.64*(1-$F$3),2)</f>
        <v/>
      </c>
      <c r="V174" s="1" t="n">
        <v>394</v>
      </c>
      <c r="Y174" s="1" t="inlineStr">
        <is>
          <t>Регент Севера</t>
        </is>
      </c>
      <c r="Z174" s="1" t="inlineStr">
        <is>
          <t>16+</t>
        </is>
      </c>
      <c r="AA174" s="12" t="n">
        <v>45454</v>
      </c>
      <c r="AB174" s="1" t="inlineStr">
        <is>
          <t>Художественная литература</t>
        </is>
      </c>
      <c r="AC174" s="1" t="inlineStr">
        <is>
          <t>Фантастика. Мистика. Ужасы</t>
        </is>
      </c>
      <c r="AD174" s="1" t="inlineStr">
        <is>
          <t>Фэнтези</t>
        </is>
      </c>
      <c r="AE174" s="1" t="inlineStr">
        <is>
          <t>офсетная</t>
        </is>
      </c>
      <c r="AG174" s="1" t="n">
        <v>11375720</v>
      </c>
      <c r="AI174" s="1" t="inlineStr">
        <is>
          <t>4901990000</t>
        </is>
      </c>
    </row>
    <row r="175" customFormat="1" s="1">
      <c r="C175" s="1" t="inlineStr">
        <is>
          <t xml:space="preserve">10169150            </t>
        </is>
      </c>
      <c r="D175" s="1" t="inlineStr">
        <is>
          <t>Grand Fantasy</t>
        </is>
      </c>
      <c r="E175" s="1" t="inlineStr">
        <is>
          <t>Сказание о Доме Вольфингов. Моррис У.</t>
        </is>
      </c>
      <c r="F175" s="13" t="inlineStr">
        <is>
          <t>См.обл.</t>
        </is>
      </c>
      <c r="G175" s="1" t="inlineStr">
        <is>
          <t>Моррис У.</t>
        </is>
      </c>
      <c r="H175" s="1" t="inlineStr">
        <is>
          <t>84х108/32</t>
        </is>
      </c>
      <c r="I175" s="1" t="n">
        <v>288</v>
      </c>
      <c r="J175" s="1" t="inlineStr">
        <is>
          <t>РИПОЛ Классик</t>
        </is>
      </c>
      <c r="M175" s="1" t="inlineStr">
        <is>
          <t>2025</t>
        </is>
      </c>
      <c r="N175" s="1" t="inlineStr">
        <is>
          <t>П</t>
        </is>
      </c>
      <c r="O175" s="9" t="n">
        <v>5</v>
      </c>
      <c r="P175" s="1">
        <f>ROUNDUP(1040*(1-$F$3),2)</f>
        <v/>
      </c>
      <c r="Q175" s="1" t="inlineStr">
        <is>
          <t> </t>
        </is>
      </c>
      <c r="R175" s="1" t="inlineStr">
        <is>
          <t>978-5-386-14629-0</t>
        </is>
      </c>
      <c r="S175" s="1" t="inlineStr">
        <is>
          <t>9785386146290</t>
        </is>
      </c>
      <c r="T175" s="9" t="n">
        <v>10</v>
      </c>
      <c r="U175" s="1">
        <f>ROUNDUP(945.45*(1-$F$3),2)</f>
        <v/>
      </c>
      <c r="V175" s="1" t="n">
        <v>305</v>
      </c>
      <c r="Y175" s="1" t="inlineStr">
        <is>
          <t>Сказание о Доме Вольфингов</t>
        </is>
      </c>
      <c r="Z175" s="1" t="inlineStr">
        <is>
          <t>16+</t>
        </is>
      </c>
      <c r="AA175" s="12" t="n">
        <v>44719</v>
      </c>
      <c r="AB175" s="1" t="inlineStr">
        <is>
          <t>Художественная литература</t>
        </is>
      </c>
      <c r="AC175" s="1" t="inlineStr">
        <is>
          <t>Фантастика. Мистика. Ужасы</t>
        </is>
      </c>
      <c r="AD175" s="1" t="inlineStr">
        <is>
          <t>Фэнтези</t>
        </is>
      </c>
      <c r="AE175" s="1" t="inlineStr">
        <is>
          <t>офсетная</t>
        </is>
      </c>
      <c r="AG175" s="1" t="n">
        <v>10169150</v>
      </c>
      <c r="AI175" s="1" t="inlineStr">
        <is>
          <t>4901990000</t>
        </is>
      </c>
    </row>
    <row r="176" customFormat="1" s="1">
      <c r="C176" s="1" t="inlineStr">
        <is>
          <t xml:space="preserve">10701950            </t>
        </is>
      </c>
      <c r="D176" s="1" t="inlineStr">
        <is>
          <t>Grand Fantasy</t>
        </is>
      </c>
      <c r="E176" s="1" t="inlineStr">
        <is>
          <t>Туннель. Келлерман Б</t>
        </is>
      </c>
      <c r="F176" s="13" t="inlineStr">
        <is>
          <t>См.обл.</t>
        </is>
      </c>
      <c r="G176" s="1" t="inlineStr">
        <is>
          <t>Келлерман Б.</t>
        </is>
      </c>
      <c r="H176" s="1" t="inlineStr">
        <is>
          <t>84х108/32</t>
        </is>
      </c>
      <c r="I176" s="1" t="n">
        <v>392</v>
      </c>
      <c r="J176" s="1" t="inlineStr">
        <is>
          <t>РИПОЛ Классик</t>
        </is>
      </c>
      <c r="M176" s="1" t="inlineStr">
        <is>
          <t>2023</t>
        </is>
      </c>
      <c r="N176" s="1" t="inlineStr">
        <is>
          <t>П</t>
        </is>
      </c>
      <c r="O176" s="9" t="n">
        <v>8</v>
      </c>
      <c r="P176" s="1">
        <f>ROUNDUP(1253*(1-$F$3),2)</f>
        <v/>
      </c>
      <c r="Q176" s="1" t="inlineStr">
        <is>
          <t> </t>
        </is>
      </c>
      <c r="R176" s="1" t="inlineStr">
        <is>
          <t>978-5-386-14932-1</t>
        </is>
      </c>
      <c r="S176" s="1" t="inlineStr">
        <is>
          <t>9785386149321</t>
        </is>
      </c>
      <c r="T176" s="9" t="n">
        <v>10</v>
      </c>
      <c r="U176" s="1">
        <f>ROUNDUP(1139.09*(1-$F$3),2)</f>
        <v/>
      </c>
      <c r="V176" s="1" t="n">
        <v>436</v>
      </c>
      <c r="Y176" s="1" t="inlineStr">
        <is>
          <t>Туннель</t>
        </is>
      </c>
      <c r="Z176" s="1" t="inlineStr">
        <is>
          <t>12+</t>
        </is>
      </c>
      <c r="AA176" s="12" t="n">
        <v>44874</v>
      </c>
      <c r="AB176" s="1" t="inlineStr">
        <is>
          <t>Художественная литература</t>
        </is>
      </c>
      <c r="AC176" s="1" t="inlineStr">
        <is>
          <t>Фантастика. Мистика. Ужасы</t>
        </is>
      </c>
      <c r="AD176" s="1" t="inlineStr">
        <is>
          <t>Зарубежная фантастика</t>
        </is>
      </c>
      <c r="AE176" s="1" t="inlineStr">
        <is>
          <t>офсетная</t>
        </is>
      </c>
      <c r="AG176" s="1" t="n">
        <v>10701950</v>
      </c>
      <c r="AI176" s="1" t="inlineStr">
        <is>
          <t>4901990000</t>
        </is>
      </c>
    </row>
    <row r="177" customFormat="1" s="1">
      <c r="C177" s="1" t="inlineStr">
        <is>
          <t xml:space="preserve">8828170             </t>
        </is>
      </c>
      <c r="D177" s="1" t="inlineStr">
        <is>
          <t>Happy Life</t>
        </is>
      </c>
      <c r="E177" s="1" t="inlineStr">
        <is>
          <t>Горькая правда о сахаре. Ненашева Л.</t>
        </is>
      </c>
      <c r="F177" s="13" t="inlineStr">
        <is>
          <t>См.обл.</t>
        </is>
      </c>
      <c r="G177" s="1" t="inlineStr">
        <is>
          <t>Ненашева Л.</t>
        </is>
      </c>
      <c r="H177" s="1" t="inlineStr">
        <is>
          <t>60х90/16</t>
        </is>
      </c>
      <c r="I177" s="1" t="n">
        <v>216</v>
      </c>
      <c r="J177" s="1" t="inlineStr">
        <is>
          <t>РИПОЛ Классик</t>
        </is>
      </c>
      <c r="M177" s="1" t="inlineStr">
        <is>
          <t>2019</t>
        </is>
      </c>
      <c r="N177" s="1" t="inlineStr">
        <is>
          <t>О</t>
        </is>
      </c>
      <c r="O177" s="9" t="n">
        <v>24</v>
      </c>
      <c r="P177" s="1">
        <f>ROUNDUP(880*(1-$F$3),2)</f>
        <v/>
      </c>
      <c r="Q177" s="1" t="inlineStr">
        <is>
          <t> </t>
        </is>
      </c>
      <c r="R177" s="1" t="inlineStr">
        <is>
          <t>978-5-386-12294-2</t>
        </is>
      </c>
      <c r="S177" s="1" t="inlineStr">
        <is>
          <t>9785386122942</t>
        </is>
      </c>
      <c r="T177" s="9" t="n">
        <v>10</v>
      </c>
      <c r="U177" s="1">
        <f>ROUNDUP(800*(1-$F$3),2)</f>
        <v/>
      </c>
      <c r="V177" s="1" t="n">
        <v>224</v>
      </c>
      <c r="Y177" s="1" t="inlineStr">
        <is>
          <t>Горькая правда о сахаре</t>
        </is>
      </c>
      <c r="Z177" s="1" t="inlineStr">
        <is>
          <t>16+</t>
        </is>
      </c>
      <c r="AA177" s="12" t="n">
        <v>43429</v>
      </c>
      <c r="AB177" s="1" t="inlineStr">
        <is>
          <t>Медицина</t>
        </is>
      </c>
      <c r="AC177" s="1" t="inlineStr">
        <is>
          <t>Популярная и нетрадиционная медицина</t>
        </is>
      </c>
      <c r="AD177" s="1" t="inlineStr">
        <is>
          <t>Целебные свойства продуктов. Оздоровительное питание</t>
        </is>
      </c>
      <c r="AE177" s="1" t="inlineStr">
        <is>
          <t>офсетная</t>
        </is>
      </c>
      <c r="AG177" s="1" t="n">
        <v>8828170</v>
      </c>
      <c r="AI177" s="1" t="inlineStr">
        <is>
          <t>4901990000</t>
        </is>
      </c>
      <c r="AJ177" s="1" t="inlineStr">
        <is>
          <t>Зпв</t>
        </is>
      </c>
    </row>
    <row r="178" customFormat="1" s="1">
      <c r="C178" s="1" t="inlineStr">
        <is>
          <t xml:space="preserve">11800710            </t>
        </is>
      </c>
      <c r="D178" s="1" t="inlineStr">
        <is>
          <t>Happyland</t>
        </is>
      </c>
      <c r="E178" s="1" t="inlineStr">
        <is>
          <t>Двойник. Чу Л.</t>
        </is>
      </c>
      <c r="F178" s="13" t="inlineStr">
        <is>
          <t>См.обл.</t>
        </is>
      </c>
      <c r="G178" s="1" t="inlineStr">
        <is>
          <t>Чу Л.</t>
        </is>
      </c>
      <c r="H178" s="1" t="inlineStr">
        <is>
          <t>60х90/16</t>
        </is>
      </c>
      <c r="I178" s="1" t="n">
        <v>464</v>
      </c>
      <c r="J178" s="1" t="inlineStr">
        <is>
          <t>РИПОЛ Классик</t>
        </is>
      </c>
      <c r="M178" s="1" t="inlineStr">
        <is>
          <t>2025</t>
        </is>
      </c>
      <c r="N178" s="1" t="inlineStr">
        <is>
          <t>П</t>
        </is>
      </c>
      <c r="O178" s="9" t="n">
        <v>6</v>
      </c>
      <c r="P178" s="1">
        <f>ROUNDUP(940*(1-$F$3),2)</f>
        <v/>
      </c>
      <c r="Q178" s="1" t="inlineStr">
        <is>
          <t> </t>
        </is>
      </c>
      <c r="R178" s="1" t="inlineStr">
        <is>
          <t>978-5-386-15452-3</t>
        </is>
      </c>
      <c r="S178" s="1" t="inlineStr">
        <is>
          <t>9785386154523</t>
        </is>
      </c>
      <c r="T178" s="9" t="n">
        <v>10</v>
      </c>
      <c r="U178" s="1">
        <f>ROUNDUP(854.55*(1-$F$3),2)</f>
        <v/>
      </c>
      <c r="V178" s="1" t="n">
        <v>481</v>
      </c>
      <c r="Y178" s="1" t="inlineStr">
        <is>
          <t>Двойник</t>
        </is>
      </c>
      <c r="Z178" s="1" t="inlineStr">
        <is>
          <t>16+</t>
        </is>
      </c>
      <c r="AA178" s="12" t="n">
        <v>45868</v>
      </c>
      <c r="AB178" s="1" t="inlineStr">
        <is>
          <t>Художественная литература</t>
        </is>
      </c>
      <c r="AC178" s="1" t="inlineStr">
        <is>
          <t>Сентиментальная проза</t>
        </is>
      </c>
      <c r="AD178" s="1" t="inlineStr">
        <is>
          <t>Зарубежный сентиментальный роман</t>
        </is>
      </c>
      <c r="AE178" s="1" t="inlineStr">
        <is>
          <t>офсетная</t>
        </is>
      </c>
      <c r="AG178" s="1" t="n">
        <v>11800710</v>
      </c>
      <c r="AI178" s="1" t="inlineStr">
        <is>
          <t>4901990000</t>
        </is>
      </c>
    </row>
    <row r="179" customFormat="1" s="1">
      <c r="C179" s="1" t="inlineStr">
        <is>
          <t xml:space="preserve">10040680            </t>
        </is>
      </c>
      <c r="D179" s="1" t="inlineStr">
        <is>
          <t>Horror Story</t>
        </is>
      </c>
      <c r="E179" s="1" t="inlineStr">
        <is>
          <t>Аватара. Готье Т.</t>
        </is>
      </c>
      <c r="F179" s="13" t="inlineStr">
        <is>
          <t>См.обл.</t>
        </is>
      </c>
      <c r="G179" s="1" t="inlineStr">
        <is>
          <t>Готье Т.</t>
        </is>
      </c>
      <c r="H179" s="1" t="inlineStr">
        <is>
          <t>84х108/32</t>
        </is>
      </c>
      <c r="I179" s="1" t="n">
        <v>240</v>
      </c>
      <c r="J179" s="1" t="inlineStr">
        <is>
          <t>РИПОЛ Классик</t>
        </is>
      </c>
      <c r="M179" s="1" t="inlineStr">
        <is>
          <t>2022</t>
        </is>
      </c>
      <c r="N179" s="1" t="inlineStr">
        <is>
          <t>П</t>
        </is>
      </c>
      <c r="O179" s="9" t="n">
        <v>14</v>
      </c>
      <c r="P179" s="1">
        <f>ROUNDUP(1100*(1-$F$3),2)</f>
        <v/>
      </c>
      <c r="Q179" s="1" t="inlineStr">
        <is>
          <t> </t>
        </is>
      </c>
      <c r="R179" s="1" t="inlineStr">
        <is>
          <t>978-5-386-14594-1</t>
        </is>
      </c>
      <c r="S179" s="1" t="inlineStr">
        <is>
          <t>9785386145941</t>
        </is>
      </c>
      <c r="T179" s="9" t="n">
        <v>10</v>
      </c>
      <c r="U179" s="1">
        <f>ROUNDUP(1000*(1-$F$3),2)</f>
        <v/>
      </c>
      <c r="V179" s="1" t="n">
        <v>335</v>
      </c>
      <c r="Y179" s="1" t="inlineStr">
        <is>
          <t>Аватара</t>
        </is>
      </c>
      <c r="Z179" s="1" t="inlineStr">
        <is>
          <t>16+</t>
        </is>
      </c>
      <c r="AA179" s="12" t="n">
        <v>44669</v>
      </c>
      <c r="AB179" s="1" t="inlineStr">
        <is>
          <t>Художественная литература</t>
        </is>
      </c>
      <c r="AC179" s="1" t="inlineStr">
        <is>
          <t>Фантастика. Мистика. Ужасы</t>
        </is>
      </c>
      <c r="AD179" s="1" t="inlineStr">
        <is>
          <t>Мистика. Ужасы</t>
        </is>
      </c>
      <c r="AE179" s="1" t="inlineStr">
        <is>
          <t>офсетная</t>
        </is>
      </c>
      <c r="AG179" s="1" t="n">
        <v>10040680</v>
      </c>
      <c r="AI179" s="1" t="inlineStr">
        <is>
          <t>4901990000</t>
        </is>
      </c>
    </row>
    <row r="180" customFormat="1" s="1">
      <c r="C180" s="1" t="inlineStr">
        <is>
          <t xml:space="preserve">10166380            </t>
        </is>
      </c>
      <c r="D180" s="1" t="inlineStr">
        <is>
          <t>Horror Story</t>
        </is>
      </c>
      <c r="E180" s="1" t="inlineStr">
        <is>
          <t>Вампиры. Фантастический роман барона Олшеври из семейной хроники графов Дракула-Карди. Олшеври</t>
        </is>
      </c>
      <c r="F180" s="13" t="inlineStr">
        <is>
          <t>См.обл.</t>
        </is>
      </c>
      <c r="G180" s="1" t="inlineStr">
        <is>
          <t>Олшеври</t>
        </is>
      </c>
      <c r="H180" s="1" t="inlineStr">
        <is>
          <t>84х108/32</t>
        </is>
      </c>
      <c r="I180" s="1" t="n">
        <v>320</v>
      </c>
      <c r="J180" s="1" t="inlineStr">
        <is>
          <t>РИПОЛ Классик</t>
        </is>
      </c>
      <c r="M180" s="1" t="inlineStr">
        <is>
          <t>2024</t>
        </is>
      </c>
      <c r="N180" s="1" t="inlineStr">
        <is>
          <t>П</t>
        </is>
      </c>
      <c r="O180" s="9" t="n">
        <v>12</v>
      </c>
      <c r="P180" s="1">
        <f>ROUNDUP(1520*(1-$F$3),2)</f>
        <v/>
      </c>
      <c r="Q180" s="1" t="inlineStr">
        <is>
          <t> </t>
        </is>
      </c>
      <c r="R180" s="1" t="inlineStr">
        <is>
          <t>978-5-386-14614-6</t>
        </is>
      </c>
      <c r="S180" s="1" t="inlineStr">
        <is>
          <t>9785386146146</t>
        </is>
      </c>
      <c r="T180" s="9" t="n">
        <v>10</v>
      </c>
      <c r="U180" s="1">
        <f>ROUNDUP(1381.82*(1-$F$3),2)</f>
        <v/>
      </c>
      <c r="V180" s="1" t="n">
        <v>372</v>
      </c>
      <c r="Y180" s="1" t="inlineStr">
        <is>
          <t>Вампиры. Фантастический роман барона Олшеври из семейной хроники графов Дракула-Карди</t>
        </is>
      </c>
      <c r="Z180" s="1" t="inlineStr">
        <is>
          <t>16+</t>
        </is>
      </c>
      <c r="AA180" s="12" t="n">
        <v>44693</v>
      </c>
      <c r="AB180" s="1" t="inlineStr">
        <is>
          <t>Художественная литература</t>
        </is>
      </c>
      <c r="AC180" s="1" t="inlineStr">
        <is>
          <t>Фантастика. Мистика. Ужасы</t>
        </is>
      </c>
      <c r="AD180" s="1" t="inlineStr">
        <is>
          <t>Мистика. Ужасы</t>
        </is>
      </c>
      <c r="AE180" s="1" t="inlineStr">
        <is>
          <t>офсетная</t>
        </is>
      </c>
      <c r="AG180" s="1" t="n">
        <v>10166380</v>
      </c>
      <c r="AI180" s="1" t="inlineStr">
        <is>
          <t>4901990000</t>
        </is>
      </c>
    </row>
    <row r="181" customFormat="1" s="1">
      <c r="C181" s="1" t="inlineStr">
        <is>
          <t xml:space="preserve">9768900             </t>
        </is>
      </c>
      <c r="D181" s="1" t="inlineStr">
        <is>
          <t>Horror Story</t>
        </is>
      </c>
      <c r="E181" s="1" t="inlineStr">
        <is>
          <t>Волхвы. Соловьев В.С.</t>
        </is>
      </c>
      <c r="F181" s="13" t="inlineStr">
        <is>
          <t>См.обл.</t>
        </is>
      </c>
      <c r="G181" s="1" t="inlineStr">
        <is>
          <t>Соловьев В.С.</t>
        </is>
      </c>
      <c r="H181" s="1" t="inlineStr">
        <is>
          <t>84х108/32</t>
        </is>
      </c>
      <c r="I181" s="1" t="n">
        <v>584</v>
      </c>
      <c r="J181" s="1" t="inlineStr">
        <is>
          <t>РИПОЛ Классик</t>
        </is>
      </c>
      <c r="M181" s="1" t="inlineStr">
        <is>
          <t>2021</t>
        </is>
      </c>
      <c r="N181" s="1" t="inlineStr">
        <is>
          <t>П</t>
        </is>
      </c>
      <c r="O181" s="9" t="n">
        <v>3</v>
      </c>
      <c r="P181" s="1">
        <f>ROUNDUP(1590*(1-$F$3),2)</f>
        <v/>
      </c>
      <c r="Q181" s="1" t="inlineStr">
        <is>
          <t> </t>
        </is>
      </c>
      <c r="R181" s="1" t="inlineStr">
        <is>
          <t>978-5-386-14372-5</t>
        </is>
      </c>
      <c r="S181" s="1" t="inlineStr">
        <is>
          <t>9785386143725</t>
        </is>
      </c>
      <c r="T181" s="9" t="n">
        <v>10</v>
      </c>
      <c r="U181" s="1">
        <f>ROUNDUP(1445.45*(1-$F$3),2)</f>
        <v/>
      </c>
      <c r="V181" s="1" t="n">
        <v>608</v>
      </c>
      <c r="Y181" s="1" t="inlineStr">
        <is>
          <t>Волхвы</t>
        </is>
      </c>
      <c r="Z181" s="1" t="inlineStr">
        <is>
          <t>16+</t>
        </is>
      </c>
      <c r="AA181" s="12" t="n">
        <v>44417</v>
      </c>
      <c r="AB181" s="1" t="inlineStr">
        <is>
          <t>Художественная литература</t>
        </is>
      </c>
      <c r="AC181" s="1" t="inlineStr">
        <is>
          <t>Историческая проза</t>
        </is>
      </c>
      <c r="AD181" s="1" t="inlineStr">
        <is>
          <t>Русская историческая проза</t>
        </is>
      </c>
      <c r="AE181" s="1" t="inlineStr">
        <is>
          <t>офсетная</t>
        </is>
      </c>
      <c r="AG181" s="1" t="n">
        <v>9768900</v>
      </c>
      <c r="AI181" s="1" t="inlineStr">
        <is>
          <t>4901990000</t>
        </is>
      </c>
    </row>
    <row r="182" customFormat="1" s="1">
      <c r="C182" s="1" t="inlineStr">
        <is>
          <t xml:space="preserve">9797710             </t>
        </is>
      </c>
      <c r="D182" s="1" t="inlineStr">
        <is>
          <t>Horror Story</t>
        </is>
      </c>
      <c r="E182" s="1" t="inlineStr">
        <is>
          <t>Голем. Майринк Г</t>
        </is>
      </c>
      <c r="F182" s="13" t="inlineStr">
        <is>
          <t>См.обл.</t>
        </is>
      </c>
      <c r="G182" s="1" t="inlineStr">
        <is>
          <t>Майринк Г.</t>
        </is>
      </c>
      <c r="H182" s="1" t="inlineStr">
        <is>
          <t>84х108/32</t>
        </is>
      </c>
      <c r="I182" s="1" t="n">
        <v>304</v>
      </c>
      <c r="J182" s="1" t="inlineStr">
        <is>
          <t>РИПОЛ Классик</t>
        </is>
      </c>
      <c r="M182" s="1" t="inlineStr">
        <is>
          <t>2022</t>
        </is>
      </c>
      <c r="N182" s="1" t="inlineStr">
        <is>
          <t>П</t>
        </is>
      </c>
      <c r="O182" s="9" t="n">
        <v>5</v>
      </c>
      <c r="P182" s="1">
        <f>ROUNDUP(1060*(1-$F$3),2)</f>
        <v/>
      </c>
      <c r="Q182" s="1" t="inlineStr">
        <is>
          <t> </t>
        </is>
      </c>
      <c r="R182" s="1" t="inlineStr">
        <is>
          <t>978-5-386-14416-6</t>
        </is>
      </c>
      <c r="S182" s="1" t="inlineStr">
        <is>
          <t>9785386144166</t>
        </is>
      </c>
      <c r="T182" s="9" t="n">
        <v>10</v>
      </c>
      <c r="U182" s="1">
        <f>ROUNDUP(963.64*(1-$F$3),2)</f>
        <v/>
      </c>
      <c r="V182" s="1" t="n">
        <v>354</v>
      </c>
      <c r="Y182" s="1" t="inlineStr">
        <is>
          <t>Голем</t>
        </is>
      </c>
      <c r="Z182" s="1" t="inlineStr">
        <is>
          <t>16+</t>
        </is>
      </c>
      <c r="AA182" s="12" t="n">
        <v>44445</v>
      </c>
      <c r="AB182" s="1" t="inlineStr">
        <is>
          <t>Художественная литература</t>
        </is>
      </c>
      <c r="AC182" s="1" t="inlineStr">
        <is>
          <t>Зарубежная литература</t>
        </is>
      </c>
      <c r="AD182" s="1" t="inlineStr">
        <is>
          <t>Европейская литература</t>
        </is>
      </c>
      <c r="AE182" s="1" t="inlineStr">
        <is>
          <t>офсетная</t>
        </is>
      </c>
      <c r="AG182" s="1" t="n">
        <v>9797710</v>
      </c>
      <c r="AI182" s="1" t="inlineStr">
        <is>
          <t>4901990000</t>
        </is>
      </c>
    </row>
    <row r="183" customFormat="1" s="1">
      <c r="C183" s="1" t="inlineStr">
        <is>
          <t>11663740</t>
        </is>
      </c>
      <c r="D183" s="1" t="inlineStr">
        <is>
          <t>Horror Story</t>
        </is>
      </c>
      <c r="E183" s="1" t="inlineStr">
        <is>
          <t>Голем; Пляска смерти; Гротески (комплект из 3-х книг). Майринк Г., Эверс Х.Х.</t>
        </is>
      </c>
      <c r="F183" s="13" t="inlineStr">
        <is>
          <t>См.обл.</t>
        </is>
      </c>
      <c r="G183" s="1" t="inlineStr">
        <is>
          <t>Майринк Г., Эверс Х.Х.</t>
        </is>
      </c>
      <c r="H183" s="1" t="inlineStr">
        <is>
          <t>84х108/32</t>
        </is>
      </c>
      <c r="I183" s="1" t="n">
        <v>1020</v>
      </c>
      <c r="J183" s="1" t="inlineStr">
        <is>
          <t>РИПОЛ Классик</t>
        </is>
      </c>
      <c r="M183" s="1" t="inlineStr">
        <is>
          <t>2024</t>
        </is>
      </c>
      <c r="N183" s="1" t="inlineStr">
        <is>
          <t>П</t>
        </is>
      </c>
      <c r="O183" s="9" t="n"/>
      <c r="P183" s="1">
        <f>ROUNDUP(3150*(1-$F$3),2)</f>
        <v/>
      </c>
      <c r="Q183" s="1" t="inlineStr">
        <is>
          <t> </t>
        </is>
      </c>
      <c r="R183" s="1" t="inlineStr">
        <is>
          <t>978-5-521-84470-8</t>
        </is>
      </c>
      <c r="S183" s="1" t="inlineStr">
        <is>
          <t>9785521844708</t>
        </is>
      </c>
      <c r="T183" s="9" t="n">
        <v>22</v>
      </c>
      <c r="U183" s="1">
        <f>ROUNDUP(2581.97*(1-$F$3),2)</f>
        <v/>
      </c>
      <c r="V183" s="1" t="n">
        <v>1091</v>
      </c>
      <c r="Y183" s="1" t="inlineStr">
        <is>
          <t>Голем; Пляска смерти; Гротески (комплект из 3-х книг)</t>
        </is>
      </c>
      <c r="Z183" s="1" t="inlineStr">
        <is>
          <t>18+</t>
        </is>
      </c>
      <c r="AA183" s="12" t="n">
        <v>45706</v>
      </c>
      <c r="AB183" s="1" t="inlineStr">
        <is>
          <t>Художественная литература</t>
        </is>
      </c>
      <c r="AC183" s="1" t="inlineStr">
        <is>
          <t>Фантастика. Мистика. Ужасы</t>
        </is>
      </c>
      <c r="AD183" s="1" t="inlineStr">
        <is>
          <t>Мистика. Ужасы</t>
        </is>
      </c>
      <c r="AE183" s="1" t="inlineStr">
        <is>
          <t>офсетная</t>
        </is>
      </c>
      <c r="AG183" s="1" t="n">
        <v>11663740</v>
      </c>
      <c r="AI183" s="1" t="inlineStr">
        <is>
          <t>4901990000</t>
        </is>
      </c>
    </row>
    <row r="184" customFormat="1" s="1">
      <c r="C184" s="1" t="inlineStr">
        <is>
          <t xml:space="preserve">9972730             </t>
        </is>
      </c>
      <c r="D184" s="1" t="inlineStr">
        <is>
          <t>Horror Story</t>
        </is>
      </c>
      <c r="E184" s="1" t="inlineStr">
        <is>
          <t>Грозный идол, или Строители ада на земле. Эльснер А.О.</t>
        </is>
      </c>
      <c r="F184" s="13" t="inlineStr">
        <is>
          <t>См.обл.</t>
        </is>
      </c>
      <c r="G184" s="1" t="inlineStr">
        <is>
          <t>Эльснер А.О.</t>
        </is>
      </c>
      <c r="H184" s="1" t="inlineStr">
        <is>
          <t>84х108/32</t>
        </is>
      </c>
      <c r="I184" s="1" t="n">
        <v>272</v>
      </c>
      <c r="J184" s="1" t="inlineStr">
        <is>
          <t>РИПОЛ Классик</t>
        </is>
      </c>
      <c r="M184" s="1" t="inlineStr">
        <is>
          <t>2022</t>
        </is>
      </c>
      <c r="N184" s="1" t="inlineStr">
        <is>
          <t>П</t>
        </is>
      </c>
      <c r="O184" s="9" t="n">
        <v>12</v>
      </c>
      <c r="P184" s="1">
        <f>ROUNDUP(1020*(1-$F$3),2)</f>
        <v/>
      </c>
      <c r="Q184" s="1" t="inlineStr">
        <is>
          <t> </t>
        </is>
      </c>
      <c r="R184" s="1" t="inlineStr">
        <is>
          <t>978-5-386-14570-5</t>
        </is>
      </c>
      <c r="S184" s="1" t="inlineStr">
        <is>
          <t>9785386145705</t>
        </is>
      </c>
      <c r="T184" s="9" t="n">
        <v>10</v>
      </c>
      <c r="U184" s="1">
        <f>ROUNDUP(927.27*(1-$F$3),2)</f>
        <v/>
      </c>
      <c r="V184" s="1" t="n">
        <v>319</v>
      </c>
      <c r="Y184" s="1" t="inlineStr">
        <is>
          <t>Грозный идол, или Строители ада на земле</t>
        </is>
      </c>
      <c r="Z184" s="1" t="inlineStr">
        <is>
          <t>16+</t>
        </is>
      </c>
      <c r="AA184" s="12" t="n">
        <v>44543</v>
      </c>
      <c r="AB184" s="1" t="inlineStr">
        <is>
          <t>Художественная литература</t>
        </is>
      </c>
      <c r="AC184" s="1" t="inlineStr">
        <is>
          <t>Фантастика. Мистика. Ужасы</t>
        </is>
      </c>
      <c r="AD184" s="1" t="inlineStr">
        <is>
          <t>Мистика. Ужасы</t>
        </is>
      </c>
      <c r="AE184" s="1" t="inlineStr">
        <is>
          <t>офсетная</t>
        </is>
      </c>
      <c r="AG184" s="1" t="n">
        <v>9972730</v>
      </c>
      <c r="AI184" s="1" t="inlineStr">
        <is>
          <t>4901990000</t>
        </is>
      </c>
    </row>
    <row r="185" customFormat="1" s="1">
      <c r="C185" s="1" t="inlineStr">
        <is>
          <t xml:space="preserve">10664790            </t>
        </is>
      </c>
      <c r="D185" s="1" t="inlineStr">
        <is>
          <t>Horror Story</t>
        </is>
      </c>
      <c r="E185" s="1" t="inlineStr">
        <is>
          <t>Гротески. Эверс Х.Х.</t>
        </is>
      </c>
      <c r="F185" s="13" t="inlineStr">
        <is>
          <t>См.обл.</t>
        </is>
      </c>
      <c r="G185" s="1" t="inlineStr">
        <is>
          <t>Эверс Х.Х.</t>
        </is>
      </c>
      <c r="H185" s="1" t="inlineStr">
        <is>
          <t>84х108/32</t>
        </is>
      </c>
      <c r="I185" s="1" t="n">
        <v>460</v>
      </c>
      <c r="J185" s="1" t="inlineStr">
        <is>
          <t>РИПОЛ Классик</t>
        </is>
      </c>
      <c r="M185" s="1" t="inlineStr">
        <is>
          <t>2023</t>
        </is>
      </c>
      <c r="N185" s="1" t="inlineStr">
        <is>
          <t>П</t>
        </is>
      </c>
      <c r="O185" s="9" t="n">
        <v>8</v>
      </c>
      <c r="P185" s="1">
        <f>ROUNDUP(1550*(1-$F$3),2)</f>
        <v/>
      </c>
      <c r="Q185" s="1" t="inlineStr">
        <is>
          <t> </t>
        </is>
      </c>
      <c r="R185" s="1" t="inlineStr">
        <is>
          <t>978-5-386-14926-0</t>
        </is>
      </c>
      <c r="S185" s="1" t="inlineStr">
        <is>
          <t>9785386149260</t>
        </is>
      </c>
      <c r="T185" s="9" t="n">
        <v>22</v>
      </c>
      <c r="U185" s="1">
        <f>ROUNDUP(1270.49*(1-$F$3),2)</f>
        <v/>
      </c>
      <c r="V185" s="1" t="n">
        <v>484</v>
      </c>
      <c r="Y185" s="1" t="inlineStr">
        <is>
          <t>Гротески</t>
        </is>
      </c>
      <c r="Z185" s="1" t="inlineStr">
        <is>
          <t>18+</t>
        </is>
      </c>
      <c r="AA185" s="12" t="n">
        <v>44839</v>
      </c>
      <c r="AB185" s="1" t="inlineStr">
        <is>
          <t>Художественная литература</t>
        </is>
      </c>
      <c r="AC185" s="1" t="inlineStr">
        <is>
          <t>Фантастика. Мистика. Ужасы</t>
        </is>
      </c>
      <c r="AD185" s="1" t="inlineStr">
        <is>
          <t>Мистика. Ужасы</t>
        </is>
      </c>
      <c r="AE185" s="1" t="inlineStr">
        <is>
          <t>офсетная</t>
        </is>
      </c>
      <c r="AG185" s="1" t="n">
        <v>10664790</v>
      </c>
      <c r="AI185" s="1" t="inlineStr">
        <is>
          <t>4901990000</t>
        </is>
      </c>
    </row>
    <row r="186" customFormat="1" s="1">
      <c r="C186" s="1" t="inlineStr">
        <is>
          <t xml:space="preserve">10012060            </t>
        </is>
      </c>
      <c r="D186" s="1" t="inlineStr">
        <is>
          <t>Horror Story</t>
        </is>
      </c>
      <c r="E186" s="1" t="inlineStr">
        <is>
          <t>День Дьявола. Херли Э.М</t>
        </is>
      </c>
      <c r="F186" s="13" t="inlineStr">
        <is>
          <t>См.обл.</t>
        </is>
      </c>
      <c r="G186" s="1" t="inlineStr">
        <is>
          <t>Херли Э.М</t>
        </is>
      </c>
      <c r="H186" s="1" t="inlineStr">
        <is>
          <t>84х108/32</t>
        </is>
      </c>
      <c r="I186" s="1" t="n">
        <v>352</v>
      </c>
      <c r="J186" s="1" t="inlineStr">
        <is>
          <t>РИПОЛ Классик</t>
        </is>
      </c>
      <c r="M186" s="1" t="inlineStr">
        <is>
          <t>2022</t>
        </is>
      </c>
      <c r="N186" s="1" t="inlineStr">
        <is>
          <t>П</t>
        </is>
      </c>
      <c r="O186" s="9" t="n">
        <v>10</v>
      </c>
      <c r="P186" s="1">
        <f>ROUNDUP(1090*(1-$F$3),2)</f>
        <v/>
      </c>
      <c r="Q186" s="1" t="inlineStr">
        <is>
          <t> </t>
        </is>
      </c>
      <c r="R186" s="1" t="inlineStr">
        <is>
          <t>978-5-386-14562-0</t>
        </is>
      </c>
      <c r="S186" s="1" t="inlineStr">
        <is>
          <t>9785386145620</t>
        </is>
      </c>
      <c r="T186" s="9" t="n">
        <v>10</v>
      </c>
      <c r="U186" s="1">
        <f>ROUNDUP(990.91*(1-$F$3),2)</f>
        <v/>
      </c>
      <c r="V186" s="1" t="n">
        <v>392</v>
      </c>
      <c r="Y186" s="1" t="inlineStr">
        <is>
          <t>День Дьявола</t>
        </is>
      </c>
      <c r="Z186" s="1" t="inlineStr">
        <is>
          <t>16+</t>
        </is>
      </c>
      <c r="AA186" s="12" t="n">
        <v>44600</v>
      </c>
      <c r="AB186" s="1" t="inlineStr">
        <is>
          <t>Художественная литература</t>
        </is>
      </c>
      <c r="AC186" s="1" t="inlineStr">
        <is>
          <t>Детективы. Боевики. Триллеры</t>
        </is>
      </c>
      <c r="AD186" s="1" t="inlineStr">
        <is>
          <t>Зарубежный детектив</t>
        </is>
      </c>
      <c r="AE186" s="1" t="inlineStr">
        <is>
          <t>офсетная</t>
        </is>
      </c>
      <c r="AG186" s="1" t="n">
        <v>10012060</v>
      </c>
      <c r="AI186" s="1" t="inlineStr">
        <is>
          <t>4901990000</t>
        </is>
      </c>
      <c r="AJ186" s="1" t="inlineStr">
        <is>
          <t>Зпв</t>
        </is>
      </c>
    </row>
    <row r="187" customFormat="1" s="1">
      <c r="C187" s="1" t="inlineStr">
        <is>
          <t xml:space="preserve">9671800             </t>
        </is>
      </c>
      <c r="D187" s="1" t="inlineStr">
        <is>
          <t>Horror Story</t>
        </is>
      </c>
      <c r="E187" s="1" t="inlineStr">
        <is>
          <t>Дракула. Стокер Б.</t>
        </is>
      </c>
      <c r="F187" s="13" t="inlineStr">
        <is>
          <t>См.обл.</t>
        </is>
      </c>
      <c r="G187" s="1" t="inlineStr">
        <is>
          <t>Стокер Б.</t>
        </is>
      </c>
      <c r="H187" s="1" t="inlineStr">
        <is>
          <t>84х108/32</t>
        </is>
      </c>
      <c r="I187" s="1" t="n">
        <v>320</v>
      </c>
      <c r="J187" s="1" t="inlineStr">
        <is>
          <t>РИПОЛ Классик</t>
        </is>
      </c>
      <c r="M187" s="1" t="inlineStr">
        <is>
          <t>2026</t>
        </is>
      </c>
      <c r="N187" s="1" t="inlineStr">
        <is>
          <t>П</t>
        </is>
      </c>
      <c r="O187" s="9" t="n">
        <v>10</v>
      </c>
      <c r="P187" s="1">
        <f>ROUNDUP(1070*(1-$F$3),2)</f>
        <v/>
      </c>
      <c r="Q187" s="1" t="inlineStr">
        <is>
          <t> </t>
        </is>
      </c>
      <c r="R187" s="1" t="inlineStr">
        <is>
          <t>978-5-386-14197-4</t>
        </is>
      </c>
      <c r="S187" s="1" t="inlineStr">
        <is>
          <t>9785386141974</t>
        </is>
      </c>
      <c r="T187" s="9" t="n">
        <v>10</v>
      </c>
      <c r="U187" s="1">
        <f>ROUNDUP(972.73*(1-$F$3),2)</f>
        <v/>
      </c>
      <c r="V187" s="1" t="n">
        <v>344</v>
      </c>
      <c r="Y187" s="1" t="inlineStr">
        <is>
          <t>Дракула</t>
        </is>
      </c>
      <c r="Z187" s="1" t="inlineStr">
        <is>
          <t>16+</t>
        </is>
      </c>
      <c r="AA187" s="12" t="n">
        <v>44298</v>
      </c>
      <c r="AB187" s="1" t="inlineStr">
        <is>
          <t>Художественная литература</t>
        </is>
      </c>
      <c r="AC187" s="1" t="inlineStr">
        <is>
          <t>Фантастика. Мистика. Ужасы</t>
        </is>
      </c>
      <c r="AD187" s="1" t="inlineStr">
        <is>
          <t>Мистика. Ужасы</t>
        </is>
      </c>
      <c r="AE187" s="1" t="inlineStr">
        <is>
          <t>офсетная</t>
        </is>
      </c>
      <c r="AG187" s="1" t="n">
        <v>9671800</v>
      </c>
      <c r="AI187" s="1" t="inlineStr">
        <is>
          <t>4901990000</t>
        </is>
      </c>
    </row>
    <row r="188" customFormat="1" s="1">
      <c r="C188" s="1" t="inlineStr">
        <is>
          <t xml:space="preserve">9797020             </t>
        </is>
      </c>
      <c r="D188" s="1" t="inlineStr">
        <is>
          <t>Horror Story</t>
        </is>
      </c>
      <c r="E188" s="1" t="inlineStr">
        <is>
          <t>Железный доктор. Эльснер А.О.</t>
        </is>
      </c>
      <c r="F188" s="13" t="inlineStr">
        <is>
          <t>См.обл.</t>
        </is>
      </c>
      <c r="G188" s="1" t="inlineStr">
        <is>
          <t>Эльснер А.О.</t>
        </is>
      </c>
      <c r="H188" s="1" t="inlineStr">
        <is>
          <t>84х108/32</t>
        </is>
      </c>
      <c r="I188" s="1" t="n">
        <v>304</v>
      </c>
      <c r="J188" s="1" t="inlineStr">
        <is>
          <t>РИПОЛ Классик</t>
        </is>
      </c>
      <c r="M188" s="1" t="inlineStr">
        <is>
          <t>2021</t>
        </is>
      </c>
      <c r="N188" s="1" t="inlineStr">
        <is>
          <t>П</t>
        </is>
      </c>
      <c r="O188" s="9" t="n">
        <v>10</v>
      </c>
      <c r="P188" s="1">
        <f>ROUNDUP(1020*(1-$F$3),2)</f>
        <v/>
      </c>
      <c r="Q188" s="1" t="inlineStr">
        <is>
          <t> </t>
        </is>
      </c>
      <c r="R188" s="1" t="inlineStr">
        <is>
          <t>978-5-386-14418-0</t>
        </is>
      </c>
      <c r="S188" s="1" t="inlineStr">
        <is>
          <t>9785386144180</t>
        </is>
      </c>
      <c r="T188" s="9" t="n">
        <v>10</v>
      </c>
      <c r="U188" s="1">
        <f>ROUNDUP(927.27*(1-$F$3),2)</f>
        <v/>
      </c>
      <c r="V188" s="1" t="n">
        <v>345</v>
      </c>
      <c r="Y188" s="1" t="inlineStr">
        <is>
          <t>Железный доктор</t>
        </is>
      </c>
      <c r="Z188" s="1" t="inlineStr">
        <is>
          <t>16+</t>
        </is>
      </c>
      <c r="AA188" s="12" t="n">
        <v>44445</v>
      </c>
      <c r="AB188" s="1" t="inlineStr">
        <is>
          <t>Художественная литература</t>
        </is>
      </c>
      <c r="AC188" s="1" t="inlineStr">
        <is>
          <t>Фантастика. Мистика. Ужасы</t>
        </is>
      </c>
      <c r="AD188" s="1" t="inlineStr">
        <is>
          <t>Русская фантастика</t>
        </is>
      </c>
      <c r="AE188" s="1" t="inlineStr">
        <is>
          <t>офсетная</t>
        </is>
      </c>
      <c r="AG188" s="1" t="n">
        <v>9797020</v>
      </c>
      <c r="AI188" s="1" t="inlineStr">
        <is>
          <t>4901990000</t>
        </is>
      </c>
      <c r="AJ188" s="1" t="inlineStr">
        <is>
          <t>Зпв</t>
        </is>
      </c>
    </row>
    <row r="189" customFormat="1" s="1">
      <c r="C189" s="1" t="inlineStr">
        <is>
          <t xml:space="preserve">9855130             </t>
        </is>
      </c>
      <c r="D189" s="1" t="inlineStr">
        <is>
          <t>Horror Story</t>
        </is>
      </c>
      <c r="E189" s="1" t="inlineStr">
        <is>
          <t>Жук. Таинственная история. Марш Р.</t>
        </is>
      </c>
      <c r="F189" s="13" t="inlineStr">
        <is>
          <t>См.обл.</t>
        </is>
      </c>
      <c r="G189" s="1" t="inlineStr">
        <is>
          <t>Марш Р.</t>
        </is>
      </c>
      <c r="H189" s="1" t="inlineStr">
        <is>
          <t>84х108/32</t>
        </is>
      </c>
      <c r="I189" s="1" t="n">
        <v>400</v>
      </c>
      <c r="J189" s="1" t="inlineStr">
        <is>
          <t>РИПОЛ Классик</t>
        </is>
      </c>
      <c r="M189" s="1" t="inlineStr">
        <is>
          <t>2021</t>
        </is>
      </c>
      <c r="N189" s="1" t="inlineStr">
        <is>
          <t>П</t>
        </is>
      </c>
      <c r="O189" s="9" t="n">
        <v>8</v>
      </c>
      <c r="P189" s="1">
        <f>ROUNDUP(1150*(1-$F$3),2)</f>
        <v/>
      </c>
      <c r="Q189" s="1" t="inlineStr">
        <is>
          <t> </t>
        </is>
      </c>
      <c r="R189" s="1" t="inlineStr">
        <is>
          <t>978-5-386-14490-6</t>
        </is>
      </c>
      <c r="S189" s="1" t="inlineStr">
        <is>
          <t>9785386144906</t>
        </is>
      </c>
      <c r="T189" s="9" t="n">
        <v>10</v>
      </c>
      <c r="U189" s="1">
        <f>ROUNDUP(1045.45*(1-$F$3),2)</f>
        <v/>
      </c>
      <c r="V189" s="1" t="n">
        <v>421</v>
      </c>
      <c r="Y189" s="1" t="inlineStr">
        <is>
          <t>Жук. Таинственная история</t>
        </is>
      </c>
      <c r="Z189" s="1" t="inlineStr">
        <is>
          <t>16+</t>
        </is>
      </c>
      <c r="AA189" s="12" t="n">
        <v>44496</v>
      </c>
      <c r="AB189" s="1" t="inlineStr">
        <is>
          <t>Художественная литература</t>
        </is>
      </c>
      <c r="AC189" s="1" t="inlineStr">
        <is>
          <t>Фантастика. Мистика. Ужасы</t>
        </is>
      </c>
      <c r="AD189" s="1" t="inlineStr">
        <is>
          <t>Зарубежная фантастика</t>
        </is>
      </c>
      <c r="AE189" s="1" t="inlineStr">
        <is>
          <t>офсетная</t>
        </is>
      </c>
      <c r="AG189" s="1" t="n">
        <v>9855130</v>
      </c>
      <c r="AI189" s="1" t="inlineStr">
        <is>
          <t>4901990000</t>
        </is>
      </c>
    </row>
    <row r="190" customFormat="1" s="1">
      <c r="C190" s="1" t="inlineStr">
        <is>
          <t xml:space="preserve">9797220             </t>
        </is>
      </c>
      <c r="D190" s="1" t="inlineStr">
        <is>
          <t>Horror Story</t>
        </is>
      </c>
      <c r="E190" s="1" t="inlineStr">
        <is>
          <t>Загадочные исчезновения. Бирс А.</t>
        </is>
      </c>
      <c r="F190" s="13" t="inlineStr">
        <is>
          <t>См.обл.</t>
        </is>
      </c>
      <c r="G190" s="1" t="inlineStr">
        <is>
          <t>Бирс А.</t>
        </is>
      </c>
      <c r="H190" s="1" t="inlineStr">
        <is>
          <t>84х108/32</t>
        </is>
      </c>
      <c r="I190" s="1" t="n">
        <v>320</v>
      </c>
      <c r="J190" s="1" t="inlineStr">
        <is>
          <t>РИПОЛ Классик</t>
        </is>
      </c>
      <c r="M190" s="1" t="inlineStr">
        <is>
          <t>2022</t>
        </is>
      </c>
      <c r="N190" s="1" t="inlineStr">
        <is>
          <t>П</t>
        </is>
      </c>
      <c r="O190" s="9" t="n">
        <v>14</v>
      </c>
      <c r="P190" s="1">
        <f>ROUNDUP(1010*(1-$F$3),2)</f>
        <v/>
      </c>
      <c r="Q190" s="1" t="inlineStr">
        <is>
          <t> </t>
        </is>
      </c>
      <c r="R190" s="1" t="inlineStr">
        <is>
          <t>978-5-386-14417-3</t>
        </is>
      </c>
      <c r="S190" s="1" t="inlineStr">
        <is>
          <t>9785386144173</t>
        </is>
      </c>
      <c r="T190" s="9" t="n">
        <v>10</v>
      </c>
      <c r="U190" s="1">
        <f>ROUNDUP(918.18*(1-$F$3),2)</f>
        <v/>
      </c>
      <c r="V190" s="1" t="n">
        <v>337</v>
      </c>
      <c r="Y190" s="1" t="inlineStr">
        <is>
          <t>Загадочные исчезновения</t>
        </is>
      </c>
      <c r="Z190" s="1" t="inlineStr">
        <is>
          <t>16+</t>
        </is>
      </c>
      <c r="AA190" s="12" t="n">
        <v>44445</v>
      </c>
      <c r="AB190" s="1" t="inlineStr">
        <is>
          <t>Художественная литература</t>
        </is>
      </c>
      <c r="AC190" s="1" t="inlineStr">
        <is>
          <t>Фантастика. Мистика. Ужасы</t>
        </is>
      </c>
      <c r="AD190" s="1" t="inlineStr">
        <is>
          <t>Зарубежная фантастика</t>
        </is>
      </c>
      <c r="AE190" s="1" t="inlineStr">
        <is>
          <t>офсетная</t>
        </is>
      </c>
      <c r="AG190" s="1" t="n">
        <v>9797220</v>
      </c>
      <c r="AI190" s="1" t="inlineStr">
        <is>
          <t>4901990000</t>
        </is>
      </c>
    </row>
    <row r="191" customFormat="1" s="1">
      <c r="C191" s="1" t="inlineStr">
        <is>
          <t xml:space="preserve">10479590            </t>
        </is>
      </c>
      <c r="D191" s="1" t="inlineStr">
        <is>
          <t>Horror Story</t>
        </is>
      </c>
      <c r="E191" s="1" t="inlineStr">
        <is>
          <t>Зов Ктулху. Лавкрафт Г.Ф.</t>
        </is>
      </c>
      <c r="F191" s="13" t="inlineStr">
        <is>
          <t>См.обл.</t>
        </is>
      </c>
      <c r="G191" s="1" t="inlineStr">
        <is>
          <t>Лавкрафт Г.Ф.</t>
        </is>
      </c>
      <c r="H191" s="1" t="inlineStr">
        <is>
          <t>84х108/32</t>
        </is>
      </c>
      <c r="I191" s="1" t="n">
        <v>336</v>
      </c>
      <c r="J191" s="1" t="inlineStr">
        <is>
          <t>РИПОЛ Классик</t>
        </is>
      </c>
      <c r="M191" s="1" t="inlineStr">
        <is>
          <t>2022</t>
        </is>
      </c>
      <c r="N191" s="1" t="inlineStr">
        <is>
          <t>П</t>
        </is>
      </c>
      <c r="O191" s="9" t="n">
        <v>10</v>
      </c>
      <c r="P191" s="1">
        <f>ROUNDUP(1060*(1-$F$3),2)</f>
        <v/>
      </c>
      <c r="Q191" s="1" t="inlineStr">
        <is>
          <t> </t>
        </is>
      </c>
      <c r="R191" s="1" t="inlineStr">
        <is>
          <t>978-5-386-14812-6</t>
        </is>
      </c>
      <c r="S191" s="1" t="inlineStr">
        <is>
          <t>9785386148126</t>
        </is>
      </c>
      <c r="T191" s="9" t="n">
        <v>10</v>
      </c>
      <c r="U191" s="1">
        <f>ROUNDUP(963.64*(1-$F$3),2)</f>
        <v/>
      </c>
      <c r="V191" s="1" t="n">
        <v>429</v>
      </c>
      <c r="Y191" s="1" t="inlineStr">
        <is>
          <t>Зов Ктулху</t>
        </is>
      </c>
      <c r="Z191" s="1" t="inlineStr">
        <is>
          <t>16+</t>
        </is>
      </c>
      <c r="AA191" s="12" t="n">
        <v>44784</v>
      </c>
      <c r="AB191" s="1" t="inlineStr">
        <is>
          <t>Художественная литература</t>
        </is>
      </c>
      <c r="AC191" s="1" t="inlineStr">
        <is>
          <t>Фантастика. Мистика. Ужасы</t>
        </is>
      </c>
      <c r="AD191" s="1" t="inlineStr">
        <is>
          <t>Мистика. Ужасы</t>
        </is>
      </c>
      <c r="AE191" s="1" t="inlineStr">
        <is>
          <t>офсетная</t>
        </is>
      </c>
      <c r="AG191" s="1" t="n">
        <v>10479590</v>
      </c>
      <c r="AI191" s="1" t="inlineStr">
        <is>
          <t>4901990000</t>
        </is>
      </c>
      <c r="AJ191" s="1" t="inlineStr">
        <is>
          <t>Зпв</t>
        </is>
      </c>
    </row>
    <row r="192" customFormat="1" s="1">
      <c r="C192" s="1" t="inlineStr">
        <is>
          <t>11664310</t>
        </is>
      </c>
      <c r="D192" s="1" t="inlineStr">
        <is>
          <t>Horror Story</t>
        </is>
      </c>
      <c r="E192" s="1" t="inlineStr">
        <is>
          <t>Зов Ктулху; Хребты безумия; Крысы в стенах (комплект из 3-х книг). Лавкрафт Г.Ф.</t>
        </is>
      </c>
      <c r="F192" s="13" t="inlineStr">
        <is>
          <t>См.обл.</t>
        </is>
      </c>
      <c r="G192" s="1" t="inlineStr">
        <is>
          <t>Лавкрафт Г.Ф.</t>
        </is>
      </c>
      <c r="H192" s="1" t="inlineStr">
        <is>
          <t>84х108/32</t>
        </is>
      </c>
      <c r="I192" s="1" t="n">
        <v>1152</v>
      </c>
      <c r="J192" s="1" t="inlineStr">
        <is>
          <t>РИПОЛ Классик</t>
        </is>
      </c>
      <c r="M192" s="1" t="inlineStr">
        <is>
          <t>2023</t>
        </is>
      </c>
      <c r="N192" s="1" t="inlineStr">
        <is>
          <t>П</t>
        </is>
      </c>
      <c r="O192" s="9" t="n"/>
      <c r="P192" s="1">
        <f>ROUNDUP(3170*(1-$F$3),2)</f>
        <v/>
      </c>
      <c r="Q192" s="1" t="inlineStr">
        <is>
          <t> </t>
        </is>
      </c>
      <c r="R192" s="1" t="inlineStr">
        <is>
          <t>978-5-521-84492-0</t>
        </is>
      </c>
      <c r="S192" s="1" t="inlineStr">
        <is>
          <t>9785521844920</t>
        </is>
      </c>
      <c r="T192" s="9" t="n">
        <v>10</v>
      </c>
      <c r="U192" s="1">
        <f>ROUNDUP(2881.82*(1-$F$3),2)</f>
        <v/>
      </c>
      <c r="V192" s="1" t="n">
        <v>1341</v>
      </c>
      <c r="Y192" s="1" t="inlineStr">
        <is>
          <t>Зов Ктулху; Хребты безумия; Крысы в стенах (комплект из 3-х книг)</t>
        </is>
      </c>
      <c r="Z192" s="1" t="inlineStr">
        <is>
          <t>16+</t>
        </is>
      </c>
      <c r="AA192" s="12" t="n">
        <v>45706</v>
      </c>
      <c r="AB192" s="1" t="inlineStr">
        <is>
          <t>Художественная литература</t>
        </is>
      </c>
      <c r="AC192" s="1" t="inlineStr">
        <is>
          <t>Фантастика. Мистика. Ужасы</t>
        </is>
      </c>
      <c r="AD192" s="1" t="inlineStr">
        <is>
          <t>Мистика. Ужасы</t>
        </is>
      </c>
      <c r="AE192" s="1" t="inlineStr">
        <is>
          <t>офсетная</t>
        </is>
      </c>
      <c r="AG192" s="1" t="n">
        <v>11664310</v>
      </c>
      <c r="AI192" s="1" t="inlineStr">
        <is>
          <t>4901990000</t>
        </is>
      </c>
      <c r="AJ192" s="1" t="inlineStr">
        <is>
          <t>Зпв</t>
        </is>
      </c>
    </row>
    <row r="193" customFormat="1" s="1">
      <c r="C193" s="1" t="inlineStr">
        <is>
          <t xml:space="preserve">10039690            </t>
        </is>
      </c>
      <c r="D193" s="1" t="inlineStr">
        <is>
          <t>Horror Story</t>
        </is>
      </c>
      <c r="E193" s="1" t="inlineStr">
        <is>
          <t>Корабль-призрак. Марриет Ф.</t>
        </is>
      </c>
      <c r="F193" s="13" t="inlineStr">
        <is>
          <t>См.обл.</t>
        </is>
      </c>
      <c r="G193" s="1" t="inlineStr">
        <is>
          <t>Марриет Ф.</t>
        </is>
      </c>
      <c r="H193" s="1" t="inlineStr">
        <is>
          <t>84х108/32</t>
        </is>
      </c>
      <c r="I193" s="1" t="n">
        <v>368</v>
      </c>
      <c r="J193" s="1" t="inlineStr">
        <is>
          <t>РИПОЛ Классик</t>
        </is>
      </c>
      <c r="M193" s="1" t="inlineStr">
        <is>
          <t>2026</t>
        </is>
      </c>
      <c r="N193" s="1" t="inlineStr">
        <is>
          <t>П</t>
        </is>
      </c>
      <c r="O193" s="9" t="n">
        <v>8</v>
      </c>
      <c r="P193" s="1">
        <f>ROUNDUP(1020*(1-$F$3),2)</f>
        <v/>
      </c>
      <c r="Q193" s="1" t="inlineStr">
        <is>
          <t> </t>
        </is>
      </c>
      <c r="R193" s="1" t="inlineStr">
        <is>
          <t>978-5-386-14606-1</t>
        </is>
      </c>
      <c r="S193" s="1" t="inlineStr">
        <is>
          <t>9785386146061</t>
        </is>
      </c>
      <c r="T193" s="9" t="n">
        <v>10</v>
      </c>
      <c r="U193" s="1">
        <f>ROUNDUP(927.27*(1-$F$3),2)</f>
        <v/>
      </c>
      <c r="V193" s="1" t="n">
        <v>413</v>
      </c>
      <c r="Y193" s="1" t="inlineStr">
        <is>
          <t>Корабль-призрак</t>
        </is>
      </c>
      <c r="Z193" s="1" t="inlineStr">
        <is>
          <t>16+</t>
        </is>
      </c>
      <c r="AA193" s="12" t="n">
        <v>44600</v>
      </c>
      <c r="AB193" s="1" t="inlineStr">
        <is>
          <t>Художественная литература</t>
        </is>
      </c>
      <c r="AC193" s="1" t="inlineStr">
        <is>
          <t>Фантастика. Мистика. Ужасы</t>
        </is>
      </c>
      <c r="AD193" s="1" t="inlineStr">
        <is>
          <t>Фэнтези</t>
        </is>
      </c>
      <c r="AE193" s="1" t="inlineStr">
        <is>
          <t>офсетная</t>
        </is>
      </c>
      <c r="AG193" s="1" t="n">
        <v>10039690</v>
      </c>
      <c r="AI193" s="1" t="inlineStr">
        <is>
          <t>4901990000</t>
        </is>
      </c>
    </row>
    <row r="194" customFormat="1" s="1">
      <c r="C194" s="1" t="inlineStr">
        <is>
          <t xml:space="preserve">10238960            </t>
        </is>
      </c>
      <c r="D194" s="1" t="inlineStr">
        <is>
          <t>Horror Story</t>
        </is>
      </c>
      <c r="E194" s="1" t="inlineStr">
        <is>
          <t>Кошмары. Эверс Х.Х.</t>
        </is>
      </c>
      <c r="F194" s="13" t="inlineStr">
        <is>
          <t>См.обл.</t>
        </is>
      </c>
      <c r="G194" s="1" t="inlineStr">
        <is>
          <t>Эверс Х.Х.</t>
        </is>
      </c>
      <c r="H194" s="1" t="inlineStr">
        <is>
          <t>84х108/32</t>
        </is>
      </c>
      <c r="I194" s="1" t="n">
        <v>448</v>
      </c>
      <c r="J194" s="1" t="inlineStr">
        <is>
          <t>РИПОЛ Классик</t>
        </is>
      </c>
      <c r="M194" s="1" t="inlineStr">
        <is>
          <t>2023</t>
        </is>
      </c>
      <c r="N194" s="1" t="inlineStr">
        <is>
          <t>П</t>
        </is>
      </c>
      <c r="O194" s="9" t="n">
        <v>10</v>
      </c>
      <c r="P194" s="1">
        <f>ROUNDUP(1400*(1-$F$3),2)</f>
        <v/>
      </c>
      <c r="Q194" s="1" t="inlineStr">
        <is>
          <t> </t>
        </is>
      </c>
      <c r="R194" s="1" t="inlineStr">
        <is>
          <t>978-5-386-14653-5</t>
        </is>
      </c>
      <c r="S194" s="1" t="inlineStr">
        <is>
          <t>9785386146535</t>
        </is>
      </c>
      <c r="T194" s="9" t="n">
        <v>10</v>
      </c>
      <c r="U194" s="1">
        <f>ROUNDUP(1272.73*(1-$F$3),2)</f>
        <v/>
      </c>
      <c r="V194" s="1" t="n">
        <v>471</v>
      </c>
      <c r="Y194" s="1" t="inlineStr">
        <is>
          <t>Кошмары</t>
        </is>
      </c>
      <c r="Z194" s="1" t="inlineStr">
        <is>
          <t>18+</t>
        </is>
      </c>
      <c r="AA194" s="12" t="n">
        <v>44732</v>
      </c>
      <c r="AB194" s="1" t="inlineStr">
        <is>
          <t>Художественная литература</t>
        </is>
      </c>
      <c r="AC194" s="1" t="inlineStr">
        <is>
          <t>Фантастика. Мистика. Ужасы</t>
        </is>
      </c>
      <c r="AD194" s="1" t="inlineStr">
        <is>
          <t>Мистика. Ужасы</t>
        </is>
      </c>
      <c r="AE194" s="1" t="inlineStr">
        <is>
          <t>офсетная</t>
        </is>
      </c>
      <c r="AG194" s="1" t="n">
        <v>10238960</v>
      </c>
      <c r="AI194" s="1" t="inlineStr">
        <is>
          <t>4901990000</t>
        </is>
      </c>
    </row>
    <row r="195" customFormat="1" s="1">
      <c r="C195" s="1" t="inlineStr">
        <is>
          <t xml:space="preserve">10945330            </t>
        </is>
      </c>
      <c r="D195" s="1" t="inlineStr">
        <is>
          <t>Horror Story</t>
        </is>
      </c>
      <c r="E195" s="1" t="inlineStr">
        <is>
          <t>Крысы в стенах. Лавкрафт Г.Ф.</t>
        </is>
      </c>
      <c r="F195" s="13" t="inlineStr">
        <is>
          <t>См.обл.</t>
        </is>
      </c>
      <c r="G195" s="1" t="inlineStr">
        <is>
          <t>Лавкрафт Г.Ф.</t>
        </is>
      </c>
      <c r="H195" s="1" t="inlineStr">
        <is>
          <t>84х108/32</t>
        </is>
      </c>
      <c r="I195" s="1" t="n">
        <v>416</v>
      </c>
      <c r="J195" s="1" t="inlineStr">
        <is>
          <t>РИПОЛ Классик</t>
        </is>
      </c>
      <c r="M195" s="1" t="inlineStr">
        <is>
          <t>2023</t>
        </is>
      </c>
      <c r="N195" s="1" t="inlineStr">
        <is>
          <t>П</t>
        </is>
      </c>
      <c r="O195" s="9" t="n">
        <v>6</v>
      </c>
      <c r="P195" s="1">
        <f>ROUNDUP(1260*(1-$F$3),2)</f>
        <v/>
      </c>
      <c r="Q195" s="1" t="inlineStr">
        <is>
          <t> </t>
        </is>
      </c>
      <c r="R195" s="1" t="inlineStr">
        <is>
          <t>978-5-386-15006-8</t>
        </is>
      </c>
      <c r="S195" s="1" t="inlineStr">
        <is>
          <t>9785386150068</t>
        </is>
      </c>
      <c r="T195" s="9" t="n">
        <v>10</v>
      </c>
      <c r="U195" s="1">
        <f>ROUNDUP(1145.45*(1-$F$3),2)</f>
        <v/>
      </c>
      <c r="V195" s="1" t="n">
        <v>419</v>
      </c>
      <c r="Y195" s="1" t="inlineStr">
        <is>
          <t>Крысы в стенах</t>
        </is>
      </c>
      <c r="Z195" s="1" t="inlineStr">
        <is>
          <t>16+</t>
        </is>
      </c>
      <c r="AA195" s="12" t="n">
        <v>45109</v>
      </c>
      <c r="AB195" s="1" t="inlineStr">
        <is>
          <t>Художественная литература</t>
        </is>
      </c>
      <c r="AC195" s="1" t="inlineStr">
        <is>
          <t>Фантастика. Мистика. Ужасы</t>
        </is>
      </c>
      <c r="AD195" s="1" t="inlineStr">
        <is>
          <t>Мистика. Ужасы</t>
        </is>
      </c>
      <c r="AE195" s="1" t="inlineStr">
        <is>
          <t>офсетная</t>
        </is>
      </c>
      <c r="AG195" s="1" t="n">
        <v>10945330</v>
      </c>
      <c r="AI195" s="1" t="inlineStr">
        <is>
          <t>4901990000</t>
        </is>
      </c>
    </row>
    <row r="196" customFormat="1" s="1">
      <c r="C196" s="1" t="inlineStr">
        <is>
          <t xml:space="preserve">9733710             </t>
        </is>
      </c>
      <c r="D196" s="1" t="inlineStr">
        <is>
          <t>Horror Story</t>
        </is>
      </c>
      <c r="E196" s="1" t="inlineStr">
        <is>
          <t>Лоуни: роман. Херли Э.М</t>
        </is>
      </c>
      <c r="F196" s="13" t="inlineStr">
        <is>
          <t>См.обл.</t>
        </is>
      </c>
      <c r="G196" s="1" t="inlineStr">
        <is>
          <t>Херли Э.М</t>
        </is>
      </c>
      <c r="H196" s="1" t="inlineStr">
        <is>
          <t>84х108/32</t>
        </is>
      </c>
      <c r="I196" s="1" t="n">
        <v>384</v>
      </c>
      <c r="J196" s="1" t="inlineStr">
        <is>
          <t>РИПОЛ Классик</t>
        </is>
      </c>
      <c r="M196" s="1" t="inlineStr">
        <is>
          <t>2021</t>
        </is>
      </c>
      <c r="N196" s="1" t="inlineStr">
        <is>
          <t>П</t>
        </is>
      </c>
      <c r="O196" s="9" t="n">
        <v>5</v>
      </c>
      <c r="P196" s="1">
        <f>ROUNDUP(1640*(1-$F$3),2)</f>
        <v/>
      </c>
      <c r="Q196" s="1" t="inlineStr">
        <is>
          <t> </t>
        </is>
      </c>
      <c r="R196" s="1" t="inlineStr">
        <is>
          <t>978-5-386-14364-0</t>
        </is>
      </c>
      <c r="S196" s="1" t="inlineStr">
        <is>
          <t>9785386143640</t>
        </is>
      </c>
      <c r="T196" s="9" t="n">
        <v>10</v>
      </c>
      <c r="U196" s="1">
        <f>ROUNDUP(1490.91*(1-$F$3),2)</f>
        <v/>
      </c>
      <c r="V196" s="1" t="n">
        <v>408</v>
      </c>
      <c r="Y196" s="1" t="inlineStr">
        <is>
          <t>Лоуни: роман</t>
        </is>
      </c>
      <c r="Z196" s="1" t="inlineStr">
        <is>
          <t>16+</t>
        </is>
      </c>
      <c r="AA196" s="12" t="n">
        <v>44396</v>
      </c>
      <c r="AB196" s="1" t="inlineStr">
        <is>
          <t>Художественная литература</t>
        </is>
      </c>
      <c r="AC196" s="1" t="inlineStr">
        <is>
          <t>Детективы. Боевики. Триллеры</t>
        </is>
      </c>
      <c r="AD196" s="1" t="inlineStr">
        <is>
          <t>Зарубежный детектив</t>
        </is>
      </c>
      <c r="AE196" s="1" t="inlineStr">
        <is>
          <t>офсетная</t>
        </is>
      </c>
      <c r="AG196" s="1" t="n">
        <v>9733710</v>
      </c>
      <c r="AI196" s="1" t="inlineStr">
        <is>
          <t>4901990000</t>
        </is>
      </c>
    </row>
    <row r="197" customFormat="1" s="1">
      <c r="C197" s="1" t="inlineStr">
        <is>
          <t xml:space="preserve">9866250             </t>
        </is>
      </c>
      <c r="D197" s="1" t="inlineStr">
        <is>
          <t>Horror Story</t>
        </is>
      </c>
      <c r="E197" s="1" t="inlineStr">
        <is>
          <t>Маска Красной Смерти. По Э.А.</t>
        </is>
      </c>
      <c r="F197" s="13" t="inlineStr">
        <is>
          <t>См.обл.</t>
        </is>
      </c>
      <c r="G197" s="1" t="inlineStr">
        <is>
          <t>По Э.А.</t>
        </is>
      </c>
      <c r="H197" s="1" t="inlineStr">
        <is>
          <t>84х108/32</t>
        </is>
      </c>
      <c r="I197" s="1" t="n">
        <v>272</v>
      </c>
      <c r="J197" s="1" t="inlineStr">
        <is>
          <t>РИПОЛ Классик</t>
        </is>
      </c>
      <c r="M197" s="1" t="inlineStr">
        <is>
          <t>2026</t>
        </is>
      </c>
      <c r="N197" s="1" t="inlineStr">
        <is>
          <t>П</t>
        </is>
      </c>
      <c r="O197" s="9" t="n">
        <v>12</v>
      </c>
      <c r="P197" s="1">
        <f>ROUNDUP(956.8*(1-$F$3),2)</f>
        <v/>
      </c>
      <c r="Q197" s="1" t="inlineStr">
        <is>
          <t> </t>
        </is>
      </c>
      <c r="R197" s="1" t="inlineStr">
        <is>
          <t>978-5-386-14419-7</t>
        </is>
      </c>
      <c r="S197" s="1" t="inlineStr">
        <is>
          <t>9785386144197</t>
        </is>
      </c>
      <c r="T197" s="9" t="n">
        <v>10</v>
      </c>
      <c r="U197" s="1">
        <f>ROUNDUP(869.82*(1-$F$3),2)</f>
        <v/>
      </c>
      <c r="V197" s="1" t="n">
        <v>315</v>
      </c>
      <c r="Y197" s="1" t="inlineStr">
        <is>
          <t>Маска Красной Смерти</t>
        </is>
      </c>
      <c r="Z197" s="1" t="inlineStr">
        <is>
          <t>16+</t>
        </is>
      </c>
      <c r="AA197" s="12" t="n">
        <v>44523</v>
      </c>
      <c r="AB197" s="1" t="inlineStr">
        <is>
          <t>Художественная литература</t>
        </is>
      </c>
      <c r="AC197" s="1" t="inlineStr">
        <is>
          <t>Фантастика. Мистика. Ужасы</t>
        </is>
      </c>
      <c r="AD197" s="1" t="inlineStr">
        <is>
          <t>Мистика. Ужасы</t>
        </is>
      </c>
      <c r="AE197" s="1" t="inlineStr">
        <is>
          <t>офсетная</t>
        </is>
      </c>
      <c r="AG197" s="1" t="n">
        <v>9866250</v>
      </c>
      <c r="AI197" s="1" t="inlineStr">
        <is>
          <t>4901990000</t>
        </is>
      </c>
    </row>
    <row r="198" customFormat="1" s="1">
      <c r="C198" s="1" t="inlineStr">
        <is>
          <t>11663950</t>
        </is>
      </c>
      <c r="D198" s="1" t="inlineStr">
        <is>
          <t>Horror Story</t>
        </is>
      </c>
      <c r="E198" s="1" t="inlineStr">
        <is>
          <t>Монах; Франкенштейн, или Современный Прометей; Тайна поместья Уиверн (комплект из 3-х книг). Ле Фаню Дж.Ш., Шелли М., Льюис М.Г.</t>
        </is>
      </c>
      <c r="F198" s="13" t="inlineStr">
        <is>
          <t>См.обл.</t>
        </is>
      </c>
      <c r="G198" s="1" t="inlineStr">
        <is>
          <t>Ле Фаню Дж.Ш., Шелли М., Льюис М.Г.</t>
        </is>
      </c>
      <c r="H198" s="1" t="inlineStr">
        <is>
          <t>84х108/32</t>
        </is>
      </c>
      <c r="I198" s="1" t="n">
        <v>1360</v>
      </c>
      <c r="J198" s="1" t="inlineStr">
        <is>
          <t>РИПОЛ Классик</t>
        </is>
      </c>
      <c r="M198" s="1" t="inlineStr">
        <is>
          <t>2025</t>
        </is>
      </c>
      <c r="N198" s="1" t="inlineStr">
        <is>
          <t>П</t>
        </is>
      </c>
      <c r="O198" s="9" t="n"/>
      <c r="P198" s="1">
        <f>ROUNDUP(3240*(1-$F$3),2)</f>
        <v/>
      </c>
      <c r="Q198" s="1" t="inlineStr">
        <is>
          <t> </t>
        </is>
      </c>
      <c r="R198" s="1" t="inlineStr">
        <is>
          <t>978-5-521-84475-3</t>
        </is>
      </c>
      <c r="S198" s="1" t="inlineStr">
        <is>
          <t>9785521844753</t>
        </is>
      </c>
      <c r="T198" s="9" t="n">
        <v>10</v>
      </c>
      <c r="U198" s="1">
        <f>ROUNDUP(2945.45*(1-$F$3),2)</f>
        <v/>
      </c>
      <c r="V198" s="1" t="n">
        <v>1373</v>
      </c>
      <c r="Y198" s="1" t="inlineStr">
        <is>
          <t>Монах; Франкенштейн, или Современный Прометей; Тайна поместья Уиверн (комплект из 3-х книг)</t>
        </is>
      </c>
      <c r="Z198" s="1" t="inlineStr">
        <is>
          <t>16+</t>
        </is>
      </c>
      <c r="AA198" s="12" t="n">
        <v>45706</v>
      </c>
      <c r="AB198" s="1" t="inlineStr">
        <is>
          <t>Художественная литература</t>
        </is>
      </c>
      <c r="AC198" s="1" t="inlineStr">
        <is>
          <t>Фантастика. Мистика. Ужасы</t>
        </is>
      </c>
      <c r="AD198" s="1" t="inlineStr">
        <is>
          <t>Мистика. Ужасы</t>
        </is>
      </c>
      <c r="AE198" s="1" t="inlineStr">
        <is>
          <t>офсетная</t>
        </is>
      </c>
      <c r="AG198" s="1" t="n">
        <v>11663950</v>
      </c>
      <c r="AI198" s="1" t="inlineStr">
        <is>
          <t>4901990000</t>
        </is>
      </c>
    </row>
    <row r="199" customFormat="1" s="1">
      <c r="C199" s="1" t="inlineStr">
        <is>
          <t xml:space="preserve">10945410            </t>
        </is>
      </c>
      <c r="D199" s="1" t="inlineStr">
        <is>
          <t>Horror Story</t>
        </is>
      </c>
      <c r="E199" s="1" t="inlineStr">
        <is>
          <t>Недобрый гость. Ле Фаню Дж.Ш.</t>
        </is>
      </c>
      <c r="F199" s="13" t="inlineStr">
        <is>
          <t>См.обл.</t>
        </is>
      </c>
      <c r="G199" s="1" t="inlineStr">
        <is>
          <t>Ле Фаню Дж.Ш.</t>
        </is>
      </c>
      <c r="H199" s="1" t="inlineStr">
        <is>
          <t>84х108/32</t>
        </is>
      </c>
      <c r="I199" s="1" t="n">
        <v>272</v>
      </c>
      <c r="J199" s="1" t="inlineStr">
        <is>
          <t>РИПОЛ Классик</t>
        </is>
      </c>
      <c r="M199" s="1" t="inlineStr">
        <is>
          <t>2025</t>
        </is>
      </c>
      <c r="N199" s="1" t="inlineStr">
        <is>
          <t>П</t>
        </is>
      </c>
      <c r="O199" s="9" t="n">
        <v>5</v>
      </c>
      <c r="P199" s="1">
        <f>ROUNDUP(1030*(1-$F$3),2)</f>
        <v/>
      </c>
      <c r="Q199" s="1" t="inlineStr">
        <is>
          <t> </t>
        </is>
      </c>
      <c r="R199" s="1" t="inlineStr">
        <is>
          <t>978-5-386-15008-2</t>
        </is>
      </c>
      <c r="S199" s="1" t="inlineStr">
        <is>
          <t>9785386150082</t>
        </is>
      </c>
      <c r="T199" s="9" t="n">
        <v>10</v>
      </c>
      <c r="U199" s="1">
        <f>ROUNDUP(936.36*(1-$F$3),2)</f>
        <v/>
      </c>
      <c r="V199" s="1" t="n">
        <v>304</v>
      </c>
      <c r="Y199" s="1" t="inlineStr">
        <is>
          <t>Недобрый гость</t>
        </is>
      </c>
      <c r="Z199" s="1" t="inlineStr">
        <is>
          <t>16+</t>
        </is>
      </c>
      <c r="AA199" s="12" t="n">
        <v>45105</v>
      </c>
      <c r="AB199" s="1" t="inlineStr">
        <is>
          <t>Художественная литература</t>
        </is>
      </c>
      <c r="AC199" s="1" t="inlineStr">
        <is>
          <t>Фантастика. Мистика. Ужасы</t>
        </is>
      </c>
      <c r="AD199" s="1" t="inlineStr">
        <is>
          <t>Мистика. Ужасы</t>
        </is>
      </c>
      <c r="AE199" s="1" t="inlineStr">
        <is>
          <t>офсетная</t>
        </is>
      </c>
      <c r="AG199" s="1" t="n">
        <v>10945410</v>
      </c>
      <c r="AI199" s="1" t="inlineStr">
        <is>
          <t>4901990000</t>
        </is>
      </c>
    </row>
    <row r="200" customFormat="1" s="1">
      <c r="C200" s="1" t="inlineStr">
        <is>
          <t xml:space="preserve">11746640            </t>
        </is>
      </c>
      <c r="D200" s="1" t="inlineStr">
        <is>
          <t>Horror Story</t>
        </is>
      </c>
      <c r="E200" s="1" t="inlineStr">
        <is>
          <t>Нездешний цвет. Лавкрафт Г.Ф.</t>
        </is>
      </c>
      <c r="F200" s="13" t="inlineStr">
        <is>
          <t>См.обл.</t>
        </is>
      </c>
      <c r="G200" s="1" t="inlineStr">
        <is>
          <t>Лавкрафт Г.Ф.</t>
        </is>
      </c>
      <c r="H200" s="1" t="inlineStr">
        <is>
          <t>84х108/32</t>
        </is>
      </c>
      <c r="I200" s="1" t="n">
        <v>416</v>
      </c>
      <c r="J200" s="1" t="inlineStr">
        <is>
          <t>РИПОЛ Классик</t>
        </is>
      </c>
      <c r="M200" s="1" t="inlineStr">
        <is>
          <t>2025</t>
        </is>
      </c>
      <c r="N200" s="1" t="inlineStr">
        <is>
          <t>П</t>
        </is>
      </c>
      <c r="O200" s="9" t="n">
        <v>4</v>
      </c>
      <c r="P200" s="1">
        <f>ROUNDUP(1350*(1-$F$3),2)</f>
        <v/>
      </c>
      <c r="Q200" s="1" t="inlineStr">
        <is>
          <t> </t>
        </is>
      </c>
      <c r="R200" s="1" t="inlineStr">
        <is>
          <t>978-5-386-15382-3</t>
        </is>
      </c>
      <c r="S200" s="1" t="inlineStr">
        <is>
          <t>9785386153823</t>
        </is>
      </c>
      <c r="T200" s="9" t="n">
        <v>10</v>
      </c>
      <c r="U200" s="1">
        <f>ROUNDUP(1227.27*(1-$F$3),2)</f>
        <v/>
      </c>
      <c r="V200" s="1" t="n">
        <v>522</v>
      </c>
      <c r="Y200" s="1" t="inlineStr">
        <is>
          <t>Нездешний цвет</t>
        </is>
      </c>
      <c r="Z200" s="1" t="inlineStr">
        <is>
          <t>16+</t>
        </is>
      </c>
      <c r="AA200" s="12" t="n">
        <v>45825</v>
      </c>
      <c r="AB200" s="1" t="inlineStr">
        <is>
          <t>Художественная литература</t>
        </is>
      </c>
      <c r="AC200" s="1" t="inlineStr">
        <is>
          <t>Фантастика. Мистика. Ужасы</t>
        </is>
      </c>
      <c r="AD200" s="1" t="inlineStr">
        <is>
          <t>Мистика. Ужасы</t>
        </is>
      </c>
      <c r="AE200" s="1" t="inlineStr">
        <is>
          <t>офсетная</t>
        </is>
      </c>
      <c r="AG200" s="1" t="n">
        <v>11746640</v>
      </c>
      <c r="AI200" s="1" t="inlineStr">
        <is>
          <t>4901990000</t>
        </is>
      </c>
    </row>
    <row r="201" customFormat="1" s="1">
      <c r="C201" s="1" t="inlineStr">
        <is>
          <t xml:space="preserve">11169160            </t>
        </is>
      </c>
      <c r="D201" s="1" t="inlineStr">
        <is>
          <t>Horror Story</t>
        </is>
      </c>
      <c r="E201" s="1" t="inlineStr">
        <is>
          <t>Пляска смерти. Готхельф И.</t>
        </is>
      </c>
      <c r="F201" s="13" t="inlineStr">
        <is>
          <t>См.обл.</t>
        </is>
      </c>
      <c r="G201" s="1" t="inlineStr">
        <is>
          <t>Готхельф И.</t>
        </is>
      </c>
      <c r="H201" s="1" t="inlineStr">
        <is>
          <t>84х108/32</t>
        </is>
      </c>
      <c r="I201" s="1" t="n">
        <v>256</v>
      </c>
      <c r="J201" s="1" t="inlineStr">
        <is>
          <t>РИПОЛ Классик</t>
        </is>
      </c>
      <c r="M201" s="1" t="inlineStr">
        <is>
          <t>2024</t>
        </is>
      </c>
      <c r="N201" s="1" t="inlineStr">
        <is>
          <t>П</t>
        </is>
      </c>
      <c r="O201" s="9" t="n">
        <v>12</v>
      </c>
      <c r="P201" s="1">
        <f>ROUNDUP(890*(1-$F$3),2)</f>
        <v/>
      </c>
      <c r="Q201" s="1" t="inlineStr">
        <is>
          <t> </t>
        </is>
      </c>
      <c r="R201" s="1" t="inlineStr">
        <is>
          <t>978-5-386-15001-3</t>
        </is>
      </c>
      <c r="S201" s="1" t="inlineStr">
        <is>
          <t>9785386150013</t>
        </is>
      </c>
      <c r="T201" s="9" t="n">
        <v>10</v>
      </c>
      <c r="U201" s="1">
        <f>ROUNDUP(809.09*(1-$F$3),2)</f>
        <v/>
      </c>
      <c r="V201" s="1" t="n">
        <v>251</v>
      </c>
      <c r="Y201" s="1" t="inlineStr">
        <is>
          <t>Пляска смерти</t>
        </is>
      </c>
      <c r="Z201" s="1" t="inlineStr">
        <is>
          <t>16+</t>
        </is>
      </c>
      <c r="AA201" s="12" t="n">
        <v>45271</v>
      </c>
      <c r="AB201" s="1" t="inlineStr">
        <is>
          <t>Художественная литература</t>
        </is>
      </c>
      <c r="AC201" s="1" t="inlineStr">
        <is>
          <t>Фантастика. Мистика. Ужасы</t>
        </is>
      </c>
      <c r="AD201" s="1" t="inlineStr">
        <is>
          <t>Мистика. Ужасы</t>
        </is>
      </c>
      <c r="AE201" s="1" t="inlineStr">
        <is>
          <t>офсетная</t>
        </is>
      </c>
      <c r="AG201" s="1" t="n">
        <v>11169160</v>
      </c>
      <c r="AI201" s="1" t="inlineStr">
        <is>
          <t>4901990000</t>
        </is>
      </c>
    </row>
    <row r="202" customFormat="1" s="1">
      <c r="C202" s="1" t="inlineStr">
        <is>
          <t xml:space="preserve">9714570             </t>
        </is>
      </c>
      <c r="D202" s="1" t="inlineStr">
        <is>
          <t>Horror Story</t>
        </is>
      </c>
      <c r="E202" s="1" t="inlineStr">
        <is>
          <t>Пожиратели душ. Арсдейл П. Ван</t>
        </is>
      </c>
      <c r="F202" s="13" t="inlineStr">
        <is>
          <t>См.обл.</t>
        </is>
      </c>
      <c r="G202" s="1" t="inlineStr">
        <is>
          <t>Арсдейл П. Ван</t>
        </is>
      </c>
      <c r="H202" s="1" t="inlineStr">
        <is>
          <t>84х108/32</t>
        </is>
      </c>
      <c r="I202" s="1" t="n">
        <v>336</v>
      </c>
      <c r="J202" s="1" t="inlineStr">
        <is>
          <t>РИПОЛ Классик</t>
        </is>
      </c>
      <c r="M202" s="1" t="inlineStr">
        <is>
          <t>2022</t>
        </is>
      </c>
      <c r="N202" s="1" t="inlineStr">
        <is>
          <t>П</t>
        </is>
      </c>
      <c r="O202" s="9" t="n">
        <v>10</v>
      </c>
      <c r="P202" s="1">
        <f>ROUNDUP(1200*(1-$F$3),2)</f>
        <v/>
      </c>
      <c r="Q202" s="1" t="inlineStr">
        <is>
          <t> </t>
        </is>
      </c>
      <c r="R202" s="1" t="inlineStr">
        <is>
          <t>978-5-386-14251-3</t>
        </is>
      </c>
      <c r="S202" s="1" t="inlineStr">
        <is>
          <t>9785386142513</t>
        </is>
      </c>
      <c r="T202" s="9" t="n">
        <v>10</v>
      </c>
      <c r="U202" s="1">
        <f>ROUNDUP(1090.91*(1-$F$3),2)</f>
        <v/>
      </c>
      <c r="V202" s="1" t="n">
        <v>393</v>
      </c>
      <c r="Y202" s="1" t="inlineStr">
        <is>
          <t>Пожиратели душ</t>
        </is>
      </c>
      <c r="Z202" s="1" t="inlineStr">
        <is>
          <t>12+</t>
        </is>
      </c>
      <c r="AA202" s="12" t="n">
        <v>44341</v>
      </c>
      <c r="AB202" s="1" t="inlineStr">
        <is>
          <t>Художественная литература</t>
        </is>
      </c>
      <c r="AC202" s="1" t="inlineStr">
        <is>
          <t>Фантастика. Мистика. Ужасы</t>
        </is>
      </c>
      <c r="AD202" s="1" t="inlineStr">
        <is>
          <t>Зарубежная фантастика</t>
        </is>
      </c>
      <c r="AE202" s="1" t="inlineStr">
        <is>
          <t>офсетная</t>
        </is>
      </c>
      <c r="AG202" s="1" t="n">
        <v>9714570</v>
      </c>
      <c r="AI202" s="1" t="inlineStr">
        <is>
          <t>4901990000</t>
        </is>
      </c>
    </row>
    <row r="203" customFormat="1" s="1">
      <c r="C203" s="1" t="inlineStr">
        <is>
          <t xml:space="preserve">10040030            </t>
        </is>
      </c>
      <c r="D203" s="1" t="inlineStr">
        <is>
          <t>Horror Story</t>
        </is>
      </c>
      <c r="E203" s="1" t="inlineStr">
        <is>
          <t>Скорбь Сатаны. Корелли М</t>
        </is>
      </c>
      <c r="F203" s="13" t="inlineStr">
        <is>
          <t>См.обл.</t>
        </is>
      </c>
      <c r="G203" s="1" t="inlineStr">
        <is>
          <t>Корелли М</t>
        </is>
      </c>
      <c r="H203" s="1" t="inlineStr">
        <is>
          <t>84х108/32</t>
        </is>
      </c>
      <c r="I203" s="1" t="n">
        <v>544</v>
      </c>
      <c r="J203" s="1" t="inlineStr">
        <is>
          <t>РИПОЛ Классик</t>
        </is>
      </c>
      <c r="M203" s="1" t="inlineStr">
        <is>
          <t>2025</t>
        </is>
      </c>
      <c r="N203" s="1" t="inlineStr">
        <is>
          <t>П</t>
        </is>
      </c>
      <c r="O203" s="9" t="n">
        <v>6</v>
      </c>
      <c r="P203" s="1">
        <f>ROUNDUP(1370*(1-$F$3),2)</f>
        <v/>
      </c>
      <c r="Q203" s="1" t="inlineStr">
        <is>
          <t> </t>
        </is>
      </c>
      <c r="R203" s="1" t="inlineStr">
        <is>
          <t>978-5-386-14578-1</t>
        </is>
      </c>
      <c r="S203" s="1" t="inlineStr">
        <is>
          <t>9785386145781</t>
        </is>
      </c>
      <c r="T203" s="9" t="n">
        <v>10</v>
      </c>
      <c r="U203" s="1">
        <f>ROUNDUP(1245.45*(1-$F$3),2)</f>
        <v/>
      </c>
      <c r="V203" s="1" t="n">
        <v>557</v>
      </c>
      <c r="Y203" s="1" t="inlineStr">
        <is>
          <t>Скорбь Сатаны</t>
        </is>
      </c>
      <c r="Z203" s="1" t="inlineStr">
        <is>
          <t>16+</t>
        </is>
      </c>
      <c r="AA203" s="12" t="n">
        <v>44600</v>
      </c>
      <c r="AB203" s="1" t="inlineStr">
        <is>
          <t>Художественная литература</t>
        </is>
      </c>
      <c r="AC203" s="1" t="inlineStr">
        <is>
          <t>Фантастика. Мистика. Ужасы</t>
        </is>
      </c>
      <c r="AD203" s="1" t="inlineStr">
        <is>
          <t>Мистика. Ужасы</t>
        </is>
      </c>
      <c r="AE203" s="1" t="inlineStr">
        <is>
          <t>газетная</t>
        </is>
      </c>
      <c r="AG203" s="1" t="n">
        <v>10040030</v>
      </c>
      <c r="AI203" s="1" t="inlineStr">
        <is>
          <t>4901990000</t>
        </is>
      </c>
    </row>
    <row r="204" customFormat="1" s="1">
      <c r="C204" s="1" t="inlineStr">
        <is>
          <t xml:space="preserve">10033420            </t>
        </is>
      </c>
      <c r="D204" s="1" t="inlineStr">
        <is>
          <t>Horror Story</t>
        </is>
      </c>
      <c r="E204" s="1" t="inlineStr">
        <is>
          <t>Спирита. Готье Т.</t>
        </is>
      </c>
      <c r="F204" s="13" t="inlineStr">
        <is>
          <t>См.обл.</t>
        </is>
      </c>
      <c r="G204" s="1" t="inlineStr">
        <is>
          <t>Готье Т.</t>
        </is>
      </c>
      <c r="H204" s="1" t="inlineStr">
        <is>
          <t>84х108/32</t>
        </is>
      </c>
      <c r="I204" s="1" t="n">
        <v>304</v>
      </c>
      <c r="J204" s="1" t="inlineStr">
        <is>
          <t>РИПОЛ Классик</t>
        </is>
      </c>
      <c r="M204" s="1" t="inlineStr">
        <is>
          <t>2021</t>
        </is>
      </c>
      <c r="N204" s="1" t="inlineStr">
        <is>
          <t>П</t>
        </is>
      </c>
      <c r="O204" s="9" t="n">
        <v>10</v>
      </c>
      <c r="P204" s="1">
        <f>ROUNDUP(1030*(1-$F$3),2)</f>
        <v/>
      </c>
      <c r="Q204" s="1" t="inlineStr">
        <is>
          <t> </t>
        </is>
      </c>
      <c r="R204" s="1" t="inlineStr">
        <is>
          <t>978-5-386-14596-5</t>
        </is>
      </c>
      <c r="S204" s="1" t="inlineStr">
        <is>
          <t>9785386145965</t>
        </is>
      </c>
      <c r="T204" s="9" t="n">
        <v>10</v>
      </c>
      <c r="U204" s="1">
        <f>ROUNDUP(936.36*(1-$F$3),2)</f>
        <v/>
      </c>
      <c r="V204" s="1" t="n">
        <v>354</v>
      </c>
      <c r="Y204" s="1" t="inlineStr">
        <is>
          <t>Спирита</t>
        </is>
      </c>
      <c r="Z204" s="1" t="inlineStr">
        <is>
          <t>16+</t>
        </is>
      </c>
      <c r="AA204" s="12" t="n">
        <v>44600</v>
      </c>
      <c r="AB204" s="1" t="inlineStr">
        <is>
          <t>Художественная литература</t>
        </is>
      </c>
      <c r="AC204" s="1" t="inlineStr">
        <is>
          <t>Фантастика. Мистика. Ужасы</t>
        </is>
      </c>
      <c r="AD204" s="1" t="inlineStr">
        <is>
          <t>Фэнтези</t>
        </is>
      </c>
      <c r="AE204" s="1" t="inlineStr">
        <is>
          <t>офсетная</t>
        </is>
      </c>
      <c r="AG204" s="1" t="n">
        <v>10033420</v>
      </c>
      <c r="AI204" s="1" t="inlineStr">
        <is>
          <t>4901990000</t>
        </is>
      </c>
    </row>
    <row r="205" customFormat="1" s="1">
      <c r="C205" s="1" t="inlineStr">
        <is>
          <t xml:space="preserve">9745130             </t>
        </is>
      </c>
      <c r="D205" s="1" t="inlineStr">
        <is>
          <t>Horror Story</t>
        </is>
      </c>
      <c r="E205" s="1" t="inlineStr">
        <is>
          <t>Страшные рассказы. По Э.А.</t>
        </is>
      </c>
      <c r="F205" s="13" t="inlineStr">
        <is>
          <t>См.обл.</t>
        </is>
      </c>
      <c r="G205" s="1" t="inlineStr">
        <is>
          <t>По Э.А.</t>
        </is>
      </c>
      <c r="H205" s="1" t="inlineStr">
        <is>
          <t>84х108/32</t>
        </is>
      </c>
      <c r="I205" s="1" t="n">
        <v>192</v>
      </c>
      <c r="J205" s="1" t="inlineStr">
        <is>
          <t>РИПОЛ Классик</t>
        </is>
      </c>
      <c r="M205" s="1" t="inlineStr">
        <is>
          <t>2023</t>
        </is>
      </c>
      <c r="N205" s="1" t="inlineStr">
        <is>
          <t>П</t>
        </is>
      </c>
      <c r="O205" s="9" t="n">
        <v>14</v>
      </c>
      <c r="P205" s="1">
        <f>ROUNDUP(870*(1-$F$3),2)</f>
        <v/>
      </c>
      <c r="Q205" s="1" t="inlineStr">
        <is>
          <t> </t>
        </is>
      </c>
      <c r="R205" s="1" t="inlineStr">
        <is>
          <t>978-5-386-14359-6</t>
        </is>
      </c>
      <c r="S205" s="1" t="inlineStr">
        <is>
          <t>9785386143596</t>
        </is>
      </c>
      <c r="T205" s="9" t="n">
        <v>10</v>
      </c>
      <c r="U205" s="1">
        <f>ROUNDUP(790.91*(1-$F$3),2)</f>
        <v/>
      </c>
      <c r="V205" s="1" t="n">
        <v>245</v>
      </c>
      <c r="Y205" s="1" t="inlineStr">
        <is>
          <t>Страшные рассказы</t>
        </is>
      </c>
      <c r="Z205" s="1" t="inlineStr">
        <is>
          <t>16+</t>
        </is>
      </c>
      <c r="AA205" s="12" t="n">
        <v>44409</v>
      </c>
      <c r="AB205" s="1" t="inlineStr">
        <is>
          <t>Художественная литература</t>
        </is>
      </c>
      <c r="AC205" s="1" t="inlineStr">
        <is>
          <t>Фантастика. Мистика. Ужасы</t>
        </is>
      </c>
      <c r="AD205" s="1" t="inlineStr">
        <is>
          <t>Мистика. Ужасы</t>
        </is>
      </c>
      <c r="AE205" s="1" t="inlineStr">
        <is>
          <t>офсетная</t>
        </is>
      </c>
      <c r="AG205" s="1" t="n">
        <v>9745130</v>
      </c>
      <c r="AI205" s="1" t="inlineStr">
        <is>
          <t>4901990000</t>
        </is>
      </c>
    </row>
    <row r="206" customFormat="1" s="1">
      <c r="C206" s="1" t="inlineStr">
        <is>
          <t xml:space="preserve">10702360            </t>
        </is>
      </c>
      <c r="D206" s="1" t="inlineStr">
        <is>
          <t>Horror Story</t>
        </is>
      </c>
      <c r="E206" s="1" t="inlineStr">
        <is>
          <t>Хребты безумия. Лавкрафт Г.Ф.</t>
        </is>
      </c>
      <c r="F206" s="13" t="inlineStr">
        <is>
          <t>См.обл.</t>
        </is>
      </c>
      <c r="G206" s="1" t="inlineStr">
        <is>
          <t>Лавкрафт Г.Ф.</t>
        </is>
      </c>
      <c r="H206" s="1" t="inlineStr">
        <is>
          <t>84х108/32</t>
        </is>
      </c>
      <c r="I206" s="1" t="n">
        <v>400</v>
      </c>
      <c r="J206" s="1" t="inlineStr">
        <is>
          <t>РИПОЛ Классик</t>
        </is>
      </c>
      <c r="M206" s="1" t="inlineStr">
        <is>
          <t>2023</t>
        </is>
      </c>
      <c r="N206" s="1" t="inlineStr">
        <is>
          <t>П</t>
        </is>
      </c>
      <c r="O206" s="9" t="n">
        <v>8</v>
      </c>
      <c r="P206" s="1">
        <f>ROUNDUP(1200*(1-$F$3),2)</f>
        <v/>
      </c>
      <c r="Q206" s="1" t="inlineStr">
        <is>
          <t> </t>
        </is>
      </c>
      <c r="R206" s="1" t="inlineStr">
        <is>
          <t>978-5-386-14937-6</t>
        </is>
      </c>
      <c r="S206" s="1" t="inlineStr">
        <is>
          <t>9785386149376</t>
        </is>
      </c>
      <c r="T206" s="9" t="n">
        <v>10</v>
      </c>
      <c r="U206" s="1">
        <f>ROUNDUP(1090.91*(1-$F$3),2)</f>
        <v/>
      </c>
      <c r="V206" s="1" t="n">
        <v>504</v>
      </c>
      <c r="Y206" s="1" t="inlineStr">
        <is>
          <t>Хребты безумия</t>
        </is>
      </c>
      <c r="Z206" s="1" t="inlineStr">
        <is>
          <t>16+</t>
        </is>
      </c>
      <c r="AA206" s="12" t="n">
        <v>44900</v>
      </c>
      <c r="AB206" s="1" t="inlineStr">
        <is>
          <t>Художественная литература</t>
        </is>
      </c>
      <c r="AC206" s="1" t="inlineStr">
        <is>
          <t>Фантастика. Мистика. Ужасы</t>
        </is>
      </c>
      <c r="AD206" s="1" t="inlineStr">
        <is>
          <t>Мистика. Ужасы</t>
        </is>
      </c>
      <c r="AE206" s="1" t="inlineStr">
        <is>
          <t>офсетная</t>
        </is>
      </c>
      <c r="AG206" s="1" t="n">
        <v>10702360</v>
      </c>
      <c r="AI206" s="1" t="inlineStr">
        <is>
          <t>4901990000</t>
        </is>
      </c>
      <c r="AJ206" s="1" t="inlineStr">
        <is>
          <t>Зпв</t>
        </is>
      </c>
    </row>
    <row r="207" customFormat="1" s="1">
      <c r="C207" s="1" t="inlineStr">
        <is>
          <t xml:space="preserve">11092210            </t>
        </is>
      </c>
      <c r="D207" s="1" t="inlineStr">
        <is>
          <t>Horror Story</t>
        </is>
      </c>
      <c r="E207" s="1" t="inlineStr">
        <is>
          <t>Чертова невеста. Русский хоррор начала ХХ века со страниц старых журналов. Сологуб Ф.К., Куприн А.И., Брюсов В.Я.</t>
        </is>
      </c>
      <c r="F207" s="13" t="inlineStr">
        <is>
          <t>См.обл.</t>
        </is>
      </c>
      <c r="G207" s="1" t="inlineStr">
        <is>
          <t>Сологуб Ф.К., Куприн А.И., Брюсов В.Я.</t>
        </is>
      </c>
      <c r="H207" s="1" t="inlineStr">
        <is>
          <t>84х108/32</t>
        </is>
      </c>
      <c r="I207" s="1" t="n">
        <v>336</v>
      </c>
      <c r="J207" s="1" t="inlineStr">
        <is>
          <t>РИПОЛ Классик</t>
        </is>
      </c>
      <c r="M207" s="1" t="inlineStr">
        <is>
          <t>2025</t>
        </is>
      </c>
      <c r="N207" s="1" t="inlineStr">
        <is>
          <t>П</t>
        </is>
      </c>
      <c r="O207" s="9" t="n">
        <v>4</v>
      </c>
      <c r="P207" s="1">
        <f>ROUNDUP(1040*(1-$F$3),2)</f>
        <v/>
      </c>
      <c r="Q207" s="1" t="inlineStr">
        <is>
          <t> </t>
        </is>
      </c>
      <c r="R207" s="1" t="inlineStr">
        <is>
          <t>978-5-386-15066-2</t>
        </is>
      </c>
      <c r="S207" s="1" t="inlineStr">
        <is>
          <t>9785386150662</t>
        </is>
      </c>
      <c r="T207" s="9" t="n">
        <v>10</v>
      </c>
      <c r="U207" s="1">
        <f>ROUNDUP(945.45*(1-$F$3),2)</f>
        <v/>
      </c>
      <c r="V207" s="1" t="n">
        <v>369</v>
      </c>
      <c r="Y207" s="1" t="inlineStr">
        <is>
          <t>Чертова невеста. Русский хоррор начала ХХ века со страниц старых журналов</t>
        </is>
      </c>
      <c r="Z207" s="1" t="inlineStr">
        <is>
          <t>16+</t>
        </is>
      </c>
      <c r="AA207" s="12" t="n">
        <v>45218</v>
      </c>
      <c r="AB207" s="1" t="inlineStr">
        <is>
          <t>Художественная литература</t>
        </is>
      </c>
      <c r="AC207" s="1" t="inlineStr">
        <is>
          <t>Фантастика. Мистика. Ужасы</t>
        </is>
      </c>
      <c r="AD207" s="1" t="inlineStr">
        <is>
          <t>Мистика. Ужасы</t>
        </is>
      </c>
      <c r="AE207" s="1" t="inlineStr">
        <is>
          <t>офсетная</t>
        </is>
      </c>
      <c r="AG207" s="1" t="n">
        <v>11092210</v>
      </c>
      <c r="AI207" s="1" t="inlineStr">
        <is>
          <t>4901990000</t>
        </is>
      </c>
    </row>
    <row r="208" customFormat="1" s="1">
      <c r="C208" s="1" t="inlineStr">
        <is>
          <t xml:space="preserve">9978530             </t>
        </is>
      </c>
      <c r="D208" s="1" t="inlineStr">
        <is>
          <t>Horror Story: Библиотека Лавкрафта</t>
        </is>
      </c>
      <c r="E208" s="1" t="inlineStr">
        <is>
          <t>Король в Желтом. Чамберс Р.</t>
        </is>
      </c>
      <c r="F208" s="13" t="inlineStr">
        <is>
          <t>См.обл.</t>
        </is>
      </c>
      <c r="G208" s="1" t="inlineStr">
        <is>
          <t>Чамберс Р.</t>
        </is>
      </c>
      <c r="H208" s="1" t="inlineStr">
        <is>
          <t>84х108/32</t>
        </is>
      </c>
      <c r="I208" s="1" t="n">
        <v>320</v>
      </c>
      <c r="J208" s="1" t="inlineStr">
        <is>
          <t>РИПОЛ Классик</t>
        </is>
      </c>
      <c r="M208" s="1" t="inlineStr">
        <is>
          <t>2026</t>
        </is>
      </c>
      <c r="N208" s="1" t="inlineStr">
        <is>
          <t>П</t>
        </is>
      </c>
      <c r="O208" s="9" t="n">
        <v>16</v>
      </c>
      <c r="P208" s="1">
        <f>ROUNDUP(1030*(1-$F$3),2)</f>
        <v/>
      </c>
      <c r="Q208" s="1" t="inlineStr">
        <is>
          <t> </t>
        </is>
      </c>
      <c r="R208" s="1" t="inlineStr">
        <is>
          <t>978-5-386-14566-8</t>
        </is>
      </c>
      <c r="S208" s="1" t="inlineStr">
        <is>
          <t>9785386145668</t>
        </is>
      </c>
      <c r="T208" s="9" t="n">
        <v>10</v>
      </c>
      <c r="U208" s="1">
        <f>ROUNDUP(936.36*(1-$F$3),2)</f>
        <v/>
      </c>
      <c r="V208" s="1" t="n">
        <v>328</v>
      </c>
      <c r="Y208" s="1" t="inlineStr">
        <is>
          <t>Король в Желтом</t>
        </is>
      </c>
      <c r="Z208" s="1" t="inlineStr">
        <is>
          <t>18+</t>
        </is>
      </c>
      <c r="AA208" s="12" t="n">
        <v>44543</v>
      </c>
      <c r="AB208" s="1" t="inlineStr">
        <is>
          <t>Художественная литература</t>
        </is>
      </c>
      <c r="AC208" s="1" t="inlineStr">
        <is>
          <t>Фантастика. Мистика. Ужасы</t>
        </is>
      </c>
      <c r="AD208" s="1" t="inlineStr">
        <is>
          <t>Мистика. Ужасы</t>
        </is>
      </c>
      <c r="AE208" s="1" t="inlineStr">
        <is>
          <t>офсетная</t>
        </is>
      </c>
      <c r="AG208" s="1" t="n">
        <v>9978530</v>
      </c>
      <c r="AI208" s="1" t="inlineStr">
        <is>
          <t>4901990000</t>
        </is>
      </c>
      <c r="AJ208" s="1" t="inlineStr">
        <is>
          <t>Зпв</t>
        </is>
      </c>
    </row>
    <row r="209" customFormat="1" s="1">
      <c r="C209" s="1" t="inlineStr">
        <is>
          <t xml:space="preserve">9705110             </t>
        </is>
      </c>
      <c r="D209" s="1" t="inlineStr">
        <is>
          <t>KARMALOGIC</t>
        </is>
      </c>
      <c r="E209" s="1" t="inlineStr">
        <is>
          <t>Арете-терапия. Психотерапия высоким смыслом. Завьялов В.Ю.</t>
        </is>
      </c>
      <c r="F209" s="13" t="inlineStr">
        <is>
          <t>См.обл.</t>
        </is>
      </c>
      <c r="G209" s="1" t="inlineStr">
        <is>
          <t>Завьялов В.Ю.</t>
        </is>
      </c>
      <c r="H209" s="1" t="inlineStr">
        <is>
          <t>60х90/16</t>
        </is>
      </c>
      <c r="I209" s="1" t="n">
        <v>480</v>
      </c>
      <c r="J209" s="1" t="inlineStr">
        <is>
          <t>РИПОЛ Классик</t>
        </is>
      </c>
      <c r="M209" s="1" t="inlineStr">
        <is>
          <t>2021</t>
        </is>
      </c>
      <c r="N209" s="1" t="inlineStr">
        <is>
          <t>П</t>
        </is>
      </c>
      <c r="O209" s="9" t="n">
        <v>10</v>
      </c>
      <c r="P209" s="1">
        <f>ROUNDUP(3340*(1-$F$3),2)</f>
        <v/>
      </c>
      <c r="Q209" s="1" t="inlineStr">
        <is>
          <t> </t>
        </is>
      </c>
      <c r="R209" s="1" t="inlineStr">
        <is>
          <t>978-5-386-14249-0</t>
        </is>
      </c>
      <c r="S209" s="1" t="inlineStr">
        <is>
          <t>9785386142490</t>
        </is>
      </c>
      <c r="T209" s="9" t="n">
        <v>10</v>
      </c>
      <c r="U209" s="1">
        <f>ROUNDUP(3036.36*(1-$F$3),2)</f>
        <v/>
      </c>
      <c r="V209" s="1" t="n">
        <v>592</v>
      </c>
      <c r="Y209" s="1" t="inlineStr">
        <is>
          <t>Арете-терапия. Психотерапия высоким смыслом</t>
        </is>
      </c>
      <c r="Z209" s="1" t="inlineStr">
        <is>
          <t>16+</t>
        </is>
      </c>
      <c r="AA209" s="12" t="n">
        <v>44393</v>
      </c>
      <c r="AB209" s="1" t="inlineStr">
        <is>
          <t>Гуманитарные науки</t>
        </is>
      </c>
      <c r="AC209" s="1" t="inlineStr">
        <is>
          <t>Психология</t>
        </is>
      </c>
      <c r="AD209" s="1" t="inlineStr">
        <is>
          <t>Психотерапия</t>
        </is>
      </c>
      <c r="AE209" s="1" t="inlineStr">
        <is>
          <t>офсетная</t>
        </is>
      </c>
      <c r="AG209" s="1" t="n">
        <v>9705110</v>
      </c>
      <c r="AI209" s="1" t="inlineStr">
        <is>
          <t>4901990000</t>
        </is>
      </c>
      <c r="AJ209" s="1" t="inlineStr">
        <is>
          <t>Зпв</t>
        </is>
      </c>
    </row>
    <row r="210" customFormat="1" s="1">
      <c r="C210" s="1" t="inlineStr">
        <is>
          <t xml:space="preserve">10232820            </t>
        </is>
      </c>
      <c r="D210" s="1" t="inlineStr">
        <is>
          <t>Librarium</t>
        </is>
      </c>
      <c r="E210" s="1" t="inlineStr">
        <is>
          <t>24 закона обольщения. Грин Р.</t>
        </is>
      </c>
      <c r="F210" s="13" t="inlineStr">
        <is>
          <t>См.обл.</t>
        </is>
      </c>
      <c r="G210" s="1" t="inlineStr">
        <is>
          <t>Грин Р.</t>
        </is>
      </c>
      <c r="H210" s="1" t="inlineStr">
        <is>
          <t>80х100/32</t>
        </is>
      </c>
      <c r="I210" s="1" t="n">
        <v>256</v>
      </c>
      <c r="J210" s="1" t="inlineStr">
        <is>
          <t>РИПОЛ Классик</t>
        </is>
      </c>
      <c r="M210" s="1" t="inlineStr">
        <is>
          <t>2026</t>
        </is>
      </c>
      <c r="N210" s="1" t="inlineStr">
        <is>
          <t>О</t>
        </is>
      </c>
      <c r="O210" s="9" t="n">
        <v>16</v>
      </c>
      <c r="P210" s="1">
        <f>ROUNDUP(790*(1-$F$3),2)</f>
        <v/>
      </c>
      <c r="Q210" s="1" t="inlineStr">
        <is>
          <t> </t>
        </is>
      </c>
      <c r="R210" s="1" t="inlineStr">
        <is>
          <t>978-5-386-14663-4</t>
        </is>
      </c>
      <c r="S210" s="1" t="inlineStr">
        <is>
          <t>9785386146634</t>
        </is>
      </c>
      <c r="T210" s="9" t="n">
        <v>10</v>
      </c>
      <c r="U210" s="1">
        <f>ROUNDUP(718.18*(1-$F$3),2)</f>
        <v/>
      </c>
      <c r="V210" s="1" t="n">
        <v>171</v>
      </c>
      <c r="Y210" s="1" t="inlineStr">
        <is>
          <t>24 закона обольщения</t>
        </is>
      </c>
      <c r="Z210" s="1" t="inlineStr">
        <is>
          <t>16+</t>
        </is>
      </c>
      <c r="AA210" s="12" t="n">
        <v>44676</v>
      </c>
      <c r="AB210" s="1" t="inlineStr">
        <is>
          <t>Гуманитарные науки</t>
        </is>
      </c>
      <c r="AC210" s="1" t="inlineStr">
        <is>
          <t>Психология</t>
        </is>
      </c>
      <c r="AD210" s="1" t="inlineStr">
        <is>
          <t>Социальная психология. Психология отношений. Коммуникации</t>
        </is>
      </c>
      <c r="AE210" s="1" t="inlineStr">
        <is>
          <t>офсетная</t>
        </is>
      </c>
      <c r="AG210" s="1" t="n">
        <v>10232820</v>
      </c>
      <c r="AI210" s="1" t="inlineStr">
        <is>
          <t>4901990000</t>
        </is>
      </c>
    </row>
    <row r="211" customFormat="1" s="1">
      <c r="C211" s="1" t="inlineStr">
        <is>
          <t xml:space="preserve">9690140             </t>
        </is>
      </c>
      <c r="D211" s="1" t="inlineStr">
        <is>
          <t>Librarium</t>
        </is>
      </c>
      <c r="E211" s="1" t="inlineStr">
        <is>
          <t>33 стратегии войны. Грин Р.</t>
        </is>
      </c>
      <c r="F211" s="13" t="inlineStr">
        <is>
          <t>См.обл.</t>
        </is>
      </c>
      <c r="G211" s="1" t="inlineStr">
        <is>
          <t>Грин Р.</t>
        </is>
      </c>
      <c r="H211" s="1" t="inlineStr">
        <is>
          <t>80х100/32</t>
        </is>
      </c>
      <c r="I211" s="1" t="n">
        <v>320</v>
      </c>
      <c r="J211" s="1" t="inlineStr">
        <is>
          <t>РИПОЛ Классик</t>
        </is>
      </c>
      <c r="M211" s="1" t="inlineStr">
        <is>
          <t>2026</t>
        </is>
      </c>
      <c r="N211" s="1" t="inlineStr">
        <is>
          <t>О</t>
        </is>
      </c>
      <c r="O211" s="9" t="n">
        <v>8</v>
      </c>
      <c r="P211" s="1">
        <f>ROUNDUP(890*(1-$F$3),2)</f>
        <v/>
      </c>
      <c r="Q211" s="1" t="inlineStr">
        <is>
          <t> </t>
        </is>
      </c>
      <c r="R211" s="1" t="inlineStr">
        <is>
          <t>978-5-386-14244-5</t>
        </is>
      </c>
      <c r="S211" s="1" t="inlineStr">
        <is>
          <t>9785386142445</t>
        </is>
      </c>
      <c r="T211" s="9" t="n">
        <v>10</v>
      </c>
      <c r="U211" s="1">
        <f>ROUNDUP(809.09*(1-$F$3),2)</f>
        <v/>
      </c>
      <c r="V211" s="1" t="n">
        <v>177</v>
      </c>
      <c r="Y211" s="1" t="inlineStr">
        <is>
          <t>33 стратегии войны</t>
        </is>
      </c>
      <c r="Z211" s="1" t="inlineStr">
        <is>
          <t>16+</t>
        </is>
      </c>
      <c r="AA211" s="12" t="n">
        <v>44363</v>
      </c>
      <c r="AB211" s="1" t="inlineStr">
        <is>
          <t>Гуманитарные науки</t>
        </is>
      </c>
      <c r="AC211" s="1" t="inlineStr">
        <is>
          <t>Психология</t>
        </is>
      </c>
      <c r="AD211" s="1" t="inlineStr">
        <is>
          <t>Социальная психология. Психология отношений. Коммуникации</t>
        </is>
      </c>
      <c r="AE211" s="1" t="inlineStr">
        <is>
          <t>офсетная</t>
        </is>
      </c>
      <c r="AG211" s="1" t="n">
        <v>9690140</v>
      </c>
      <c r="AI211" s="1" t="inlineStr">
        <is>
          <t>4901990000</t>
        </is>
      </c>
    </row>
    <row r="212" customFormat="1" s="1">
      <c r="C212" s="1" t="inlineStr">
        <is>
          <t xml:space="preserve">10162230            </t>
        </is>
      </c>
      <c r="D212" s="1" t="inlineStr">
        <is>
          <t>Librarium</t>
        </is>
      </c>
      <c r="E212" s="1" t="inlineStr">
        <is>
          <t>48 законов власти (краткая версия). Грин Р.</t>
        </is>
      </c>
      <c r="F212" s="13" t="inlineStr">
        <is>
          <t>См.обл.</t>
        </is>
      </c>
      <c r="G212" s="1" t="inlineStr">
        <is>
          <t>Грин Р.</t>
        </is>
      </c>
      <c r="H212" s="1" t="inlineStr">
        <is>
          <t>84х108/32</t>
        </is>
      </c>
      <c r="I212" s="1" t="n">
        <v>306</v>
      </c>
      <c r="J212" s="1" t="inlineStr">
        <is>
          <t>РИПОЛ Классик</t>
        </is>
      </c>
      <c r="M212" s="1" t="inlineStr">
        <is>
          <t>2026</t>
        </is>
      </c>
      <c r="N212" s="1" t="inlineStr">
        <is>
          <t>О</t>
        </is>
      </c>
      <c r="O212" s="9" t="n">
        <v>14</v>
      </c>
      <c r="P212" s="1">
        <f>ROUNDUP(750*(1-$F$3),2)</f>
        <v/>
      </c>
      <c r="Q212" s="1" t="inlineStr">
        <is>
          <t> </t>
        </is>
      </c>
      <c r="R212" s="1" t="inlineStr">
        <is>
          <t>978-5-386-13947-6</t>
        </is>
      </c>
      <c r="S212" s="1" t="inlineStr">
        <is>
          <t>9785386139476</t>
        </is>
      </c>
      <c r="T212" s="9" t="n">
        <v>10</v>
      </c>
      <c r="U212" s="1">
        <f>ROUNDUP(681.82*(1-$F$3),2)</f>
        <v/>
      </c>
      <c r="V212" s="1" t="n">
        <v>223</v>
      </c>
      <c r="Y212" s="1" t="inlineStr">
        <is>
          <t>48 законов власти (краткая версия)</t>
        </is>
      </c>
      <c r="Z212" s="1" t="inlineStr">
        <is>
          <t>16+</t>
        </is>
      </c>
      <c r="AA212" s="12" t="n">
        <v>44676</v>
      </c>
      <c r="AB212" s="1" t="inlineStr">
        <is>
          <t>Общественные науки</t>
        </is>
      </c>
      <c r="AC212" s="1" t="inlineStr">
        <is>
          <t>Политика</t>
        </is>
      </c>
      <c r="AD212" s="1" t="inlineStr">
        <is>
          <t>Государственное управление. Власть</t>
        </is>
      </c>
      <c r="AE212" s="1" t="inlineStr">
        <is>
          <t>офсетная</t>
        </is>
      </c>
      <c r="AG212" s="1" t="n">
        <v>10162230</v>
      </c>
      <c r="AI212" s="1" t="inlineStr">
        <is>
          <t>4901990000</t>
        </is>
      </c>
    </row>
    <row r="213" customFormat="1" s="1">
      <c r="C213" s="1" t="inlineStr">
        <is>
          <t xml:space="preserve">10646110            </t>
        </is>
      </c>
      <c r="D213" s="1" t="inlineStr">
        <is>
          <t>Librarium</t>
        </is>
      </c>
      <c r="E213" s="1" t="inlineStr">
        <is>
          <t>Stigmata. Эллис</t>
        </is>
      </c>
      <c r="F213" s="13" t="inlineStr">
        <is>
          <t>См.обл.</t>
        </is>
      </c>
      <c r="G213" s="1" t="inlineStr">
        <is>
          <t>Эллис</t>
        </is>
      </c>
      <c r="H213" s="1" t="inlineStr">
        <is>
          <t>80х100/32</t>
        </is>
      </c>
      <c r="I213" s="1" t="n">
        <v>390</v>
      </c>
      <c r="J213" s="1" t="inlineStr">
        <is>
          <t>РИПОЛ Классик</t>
        </is>
      </c>
      <c r="M213" s="1" t="inlineStr">
        <is>
          <t>2022</t>
        </is>
      </c>
      <c r="N213" s="1" t="inlineStr">
        <is>
          <t>О</t>
        </is>
      </c>
      <c r="O213" s="9" t="n">
        <v>14</v>
      </c>
      <c r="P213" s="1">
        <f>ROUNDUP(990*(1-$F$3),2)</f>
        <v/>
      </c>
      <c r="Q213" s="1" t="inlineStr">
        <is>
          <t> </t>
        </is>
      </c>
      <c r="R213" s="1" t="inlineStr">
        <is>
          <t>978-5-386-14837-9</t>
        </is>
      </c>
      <c r="S213" s="1" t="inlineStr">
        <is>
          <t>9785386148379</t>
        </is>
      </c>
      <c r="T213" s="9" t="n">
        <v>10</v>
      </c>
      <c r="U213" s="1">
        <f>ROUNDUP(900*(1-$F$3),2)</f>
        <v/>
      </c>
      <c r="V213" s="1" t="n">
        <v>287</v>
      </c>
      <c r="Y213" s="1" t="inlineStr">
        <is>
          <t>Stigmata</t>
        </is>
      </c>
      <c r="Z213" s="1" t="inlineStr">
        <is>
          <t>16+</t>
        </is>
      </c>
      <c r="AA213" s="12" t="n">
        <v>44834</v>
      </c>
      <c r="AB213" s="1" t="inlineStr">
        <is>
          <t>Художественная литература</t>
        </is>
      </c>
      <c r="AC213" s="1" t="inlineStr">
        <is>
          <t>Поэзия</t>
        </is>
      </c>
      <c r="AD213" s="1" t="inlineStr">
        <is>
          <t>Русская поэзия</t>
        </is>
      </c>
      <c r="AE213" s="1" t="inlineStr">
        <is>
          <t>офсетная</t>
        </is>
      </c>
      <c r="AG213" s="1" t="n">
        <v>10646110</v>
      </c>
      <c r="AI213" s="1" t="inlineStr">
        <is>
          <t>4901990000</t>
        </is>
      </c>
    </row>
    <row r="214" customFormat="1" s="1">
      <c r="C214" s="1" t="inlineStr">
        <is>
          <t xml:space="preserve">9610840             </t>
        </is>
      </c>
      <c r="D214" s="1" t="inlineStr">
        <is>
          <t>Librarium</t>
        </is>
      </c>
      <c r="E214" s="1" t="inlineStr">
        <is>
          <t>Алиса в Зазеркалье. Льюис Кэрролл</t>
        </is>
      </c>
      <c r="F214" s="13" t="inlineStr">
        <is>
          <t>См.обл.</t>
        </is>
      </c>
      <c r="G214" s="1" t="inlineStr">
        <is>
          <t>Льюис Кэрролл</t>
        </is>
      </c>
      <c r="H214" s="1" t="inlineStr">
        <is>
          <t>80х100/32</t>
        </is>
      </c>
      <c r="I214" s="1" t="n">
        <v>226</v>
      </c>
      <c r="J214" s="1" t="inlineStr">
        <is>
          <t>РИПОЛ Классик</t>
        </is>
      </c>
      <c r="M214" s="1" t="inlineStr">
        <is>
          <t>2021</t>
        </is>
      </c>
      <c r="N214" s="1" t="inlineStr">
        <is>
          <t>О</t>
        </is>
      </c>
      <c r="O214" s="9" t="n">
        <v>18</v>
      </c>
      <c r="P214" s="1">
        <f>ROUNDUP(750*(1-$F$3),2)</f>
        <v/>
      </c>
      <c r="Q214" s="1" t="inlineStr">
        <is>
          <t> </t>
        </is>
      </c>
      <c r="R214" s="1" t="inlineStr">
        <is>
          <t>978-5-386-13994-0</t>
        </is>
      </c>
      <c r="S214" s="1" t="inlineStr">
        <is>
          <t>9785386139940</t>
        </is>
      </c>
      <c r="T214" s="9" t="n">
        <v>10</v>
      </c>
      <c r="U214" s="1">
        <f>ROUNDUP(681.82*(1-$F$3),2)</f>
        <v/>
      </c>
      <c r="V214" s="1" t="n">
        <v>174</v>
      </c>
      <c r="Y214" s="1" t="inlineStr">
        <is>
          <t>Алиса в Зазеркалье</t>
        </is>
      </c>
      <c r="Z214" s="1" t="inlineStr">
        <is>
          <t>16+</t>
        </is>
      </c>
      <c r="AA214" s="12" t="n">
        <v>44302</v>
      </c>
      <c r="AB214" s="1" t="inlineStr">
        <is>
          <t>Художественная литература</t>
        </is>
      </c>
      <c r="AC214" s="1" t="inlineStr">
        <is>
          <t>Фольклор</t>
        </is>
      </c>
      <c r="AD214" s="1" t="inlineStr">
        <is>
          <t>Сказки</t>
        </is>
      </c>
      <c r="AE214" s="1" t="inlineStr">
        <is>
          <t>офсетная</t>
        </is>
      </c>
      <c r="AG214" s="1" t="n">
        <v>9610840</v>
      </c>
      <c r="AI214" s="1" t="inlineStr">
        <is>
          <t>4901990000</t>
        </is>
      </c>
    </row>
    <row r="215" customFormat="1" s="1">
      <c r="C215" s="1" t="inlineStr">
        <is>
          <t xml:space="preserve">9648480             </t>
        </is>
      </c>
      <c r="D215" s="1" t="inlineStr">
        <is>
          <t>Librarium</t>
        </is>
      </c>
      <c r="E215" s="1" t="inlineStr">
        <is>
          <t>Алькеста; Гераклиды: пьесы. Еврипид</t>
        </is>
      </c>
      <c r="F215" s="13" t="inlineStr">
        <is>
          <t>См.обл.</t>
        </is>
      </c>
      <c r="G215" s="1" t="inlineStr">
        <is>
          <t>Еврипид</t>
        </is>
      </c>
      <c r="H215" s="1" t="inlineStr">
        <is>
          <t>80х100/32</t>
        </is>
      </c>
      <c r="I215" s="1" t="n">
        <v>176</v>
      </c>
      <c r="J215" s="1" t="inlineStr">
        <is>
          <t>РИПОЛ Классик</t>
        </is>
      </c>
      <c r="M215" s="1" t="inlineStr">
        <is>
          <t>2024</t>
        </is>
      </c>
      <c r="N215" s="1" t="inlineStr">
        <is>
          <t>О</t>
        </is>
      </c>
      <c r="O215" s="9" t="n">
        <v>24</v>
      </c>
      <c r="P215" s="1">
        <f>ROUNDUP(750*(1-$F$3),2)</f>
        <v/>
      </c>
      <c r="Q215" s="1" t="inlineStr">
        <is>
          <t> </t>
        </is>
      </c>
      <c r="R215" s="1" t="inlineStr">
        <is>
          <t>978-5-386-14033-5</t>
        </is>
      </c>
      <c r="S215" s="1" t="inlineStr">
        <is>
          <t>9785386140335</t>
        </is>
      </c>
      <c r="T215" s="9" t="n">
        <v>10</v>
      </c>
      <c r="U215" s="1">
        <f>ROUNDUP(681.82*(1-$F$3),2)</f>
        <v/>
      </c>
      <c r="V215" s="1" t="n">
        <v>161</v>
      </c>
      <c r="Y215" s="1" t="inlineStr">
        <is>
          <t>Алькеста; Гераклиды: пьесы</t>
        </is>
      </c>
      <c r="Z215" s="1" t="inlineStr">
        <is>
          <t>12+</t>
        </is>
      </c>
      <c r="AA215" s="12" t="n">
        <v>44300</v>
      </c>
      <c r="AB215" s="1" t="inlineStr">
        <is>
          <t>Художественная литература</t>
        </is>
      </c>
      <c r="AC215" s="1" t="inlineStr">
        <is>
          <t>Зарубежная литература</t>
        </is>
      </c>
      <c r="AD215" s="1" t="inlineStr">
        <is>
          <t>Литература Древнего мира, Античности и Средних веков</t>
        </is>
      </c>
      <c r="AE215" s="1" t="inlineStr">
        <is>
          <t>офсетная</t>
        </is>
      </c>
      <c r="AG215" s="1" t="n">
        <v>9648480</v>
      </c>
      <c r="AI215" s="1" t="inlineStr">
        <is>
          <t>4901990000</t>
        </is>
      </c>
    </row>
    <row r="216" customFormat="1" s="1">
      <c r="C216" s="1" t="inlineStr">
        <is>
          <t xml:space="preserve">10736800            </t>
        </is>
      </c>
      <c r="D216" s="1" t="inlineStr">
        <is>
          <t>Librarium</t>
        </is>
      </c>
      <c r="E216" s="1" t="inlineStr">
        <is>
          <t>Апология сумасшедшего. Чаадаев П.Я.</t>
        </is>
      </c>
      <c r="F216" s="13" t="inlineStr">
        <is>
          <t>См.обл.</t>
        </is>
      </c>
      <c r="G216" s="1" t="inlineStr">
        <is>
          <t>Чаадаев П.Я.</t>
        </is>
      </c>
      <c r="H216" s="1" t="inlineStr">
        <is>
          <t>80х100/32</t>
        </is>
      </c>
      <c r="I216" s="1" t="n">
        <v>228</v>
      </c>
      <c r="J216" s="1" t="inlineStr">
        <is>
          <t>РИПОЛ Классик</t>
        </is>
      </c>
      <c r="M216" s="1" t="inlineStr">
        <is>
          <t>2026</t>
        </is>
      </c>
      <c r="N216" s="1" t="inlineStr">
        <is>
          <t>О</t>
        </is>
      </c>
      <c r="O216" s="9" t="n">
        <v>20</v>
      </c>
      <c r="P216" s="1">
        <f>ROUNDUP(750*(1-$F$3),2)</f>
        <v/>
      </c>
      <c r="Q216" s="1" t="inlineStr">
        <is>
          <t> </t>
        </is>
      </c>
      <c r="R216" s="1" t="inlineStr">
        <is>
          <t>978-5-386-14858-4</t>
        </is>
      </c>
      <c r="S216" s="1" t="inlineStr">
        <is>
          <t>9785386148584</t>
        </is>
      </c>
      <c r="T216" s="9" t="n">
        <v>10</v>
      </c>
      <c r="U216" s="1">
        <f>ROUNDUP(681.82*(1-$F$3),2)</f>
        <v/>
      </c>
      <c r="V216" s="1" t="n">
        <v>203</v>
      </c>
      <c r="Y216" s="1" t="inlineStr">
        <is>
          <t>Апология сумасшедшего</t>
        </is>
      </c>
      <c r="Z216" s="1" t="inlineStr">
        <is>
          <t>16+</t>
        </is>
      </c>
      <c r="AA216" s="12" t="n">
        <v>44910</v>
      </c>
      <c r="AB216" s="1" t="inlineStr">
        <is>
          <t>Гуманитарные науки</t>
        </is>
      </c>
      <c r="AC216" s="1" t="inlineStr">
        <is>
          <t>Философские науки</t>
        </is>
      </c>
      <c r="AD216" s="1" t="inlineStr">
        <is>
          <t>Философия в целом. Труды</t>
        </is>
      </c>
      <c r="AE216" s="1" t="inlineStr">
        <is>
          <t>офсетная</t>
        </is>
      </c>
      <c r="AG216" s="1" t="n">
        <v>10736800</v>
      </c>
      <c r="AI216" s="1" t="inlineStr">
        <is>
          <t>4901990000</t>
        </is>
      </c>
    </row>
    <row r="217" customFormat="1" s="1">
      <c r="C217" s="1" t="inlineStr">
        <is>
          <t xml:space="preserve">10238800            </t>
        </is>
      </c>
      <c r="D217" s="1" t="inlineStr">
        <is>
          <t>Librarium</t>
        </is>
      </c>
      <c r="E217" s="1" t="inlineStr">
        <is>
          <t>Астарта. Лоррен Ж.</t>
        </is>
      </c>
      <c r="F217" s="13" t="inlineStr">
        <is>
          <t>См.обл.</t>
        </is>
      </c>
      <c r="G217" s="1" t="inlineStr">
        <is>
          <t>Лоррен Ж.</t>
        </is>
      </c>
      <c r="H217" s="1" t="inlineStr">
        <is>
          <t>80х100/32</t>
        </is>
      </c>
      <c r="I217" s="1" t="n">
        <v>362</v>
      </c>
      <c r="J217" s="1" t="inlineStr">
        <is>
          <t>РИПОЛ Классик</t>
        </is>
      </c>
      <c r="M217" s="1" t="inlineStr">
        <is>
          <t>2026</t>
        </is>
      </c>
      <c r="N217" s="1" t="inlineStr">
        <is>
          <t>О</t>
        </is>
      </c>
      <c r="O217" s="9" t="n">
        <v>16</v>
      </c>
      <c r="P217" s="1">
        <f>ROUNDUP(1100*(1-$F$3),2)</f>
        <v/>
      </c>
      <c r="Q217" s="1" t="inlineStr">
        <is>
          <t> </t>
        </is>
      </c>
      <c r="R217" s="1" t="inlineStr">
        <is>
          <t>978-5-386-14650-4</t>
        </is>
      </c>
      <c r="S217" s="1" t="inlineStr">
        <is>
          <t>9785386146504</t>
        </is>
      </c>
      <c r="T217" s="9" t="n">
        <v>10</v>
      </c>
      <c r="U217" s="1">
        <f>ROUNDUP(1000*(1-$F$3),2)</f>
        <v/>
      </c>
      <c r="V217" s="1" t="n">
        <v>241</v>
      </c>
      <c r="Y217" s="1" t="inlineStr">
        <is>
          <t>Астарта</t>
        </is>
      </c>
      <c r="Z217" s="1" t="inlineStr">
        <is>
          <t>18+</t>
        </is>
      </c>
      <c r="AA217" s="12" t="n">
        <v>44707</v>
      </c>
      <c r="AB217" s="1" t="inlineStr">
        <is>
          <t>Художественная литература</t>
        </is>
      </c>
      <c r="AC217" s="1" t="inlineStr">
        <is>
          <t>Зарубежная литература</t>
        </is>
      </c>
      <c r="AD217" s="1" t="inlineStr">
        <is>
          <t>Европейская литература</t>
        </is>
      </c>
      <c r="AE217" s="1" t="inlineStr">
        <is>
          <t>офсетная</t>
        </is>
      </c>
      <c r="AG217" s="1" t="n">
        <v>10238800</v>
      </c>
      <c r="AI217" s="1" t="inlineStr">
        <is>
          <t>4901990000</t>
        </is>
      </c>
    </row>
    <row r="218" customFormat="1" s="1">
      <c r="C218" s="1" t="inlineStr">
        <is>
          <t xml:space="preserve">9668140             </t>
        </is>
      </c>
      <c r="D218" s="1" t="inlineStr">
        <is>
          <t>Librarium</t>
        </is>
      </c>
      <c r="E218" s="1" t="inlineStr">
        <is>
          <t>Большое волшебство. Гилберт Э.</t>
        </is>
      </c>
      <c r="F218" s="13" t="inlineStr">
        <is>
          <t>См.обл.</t>
        </is>
      </c>
      <c r="G218" s="1" t="inlineStr">
        <is>
          <t>Гилберт Э.</t>
        </is>
      </c>
      <c r="H218" s="1" t="inlineStr">
        <is>
          <t>80х100/32</t>
        </is>
      </c>
      <c r="I218" s="1" t="n">
        <v>364</v>
      </c>
      <c r="J218" s="1" t="inlineStr">
        <is>
          <t>РИПОЛ Классик</t>
        </is>
      </c>
      <c r="M218" s="1" t="inlineStr">
        <is>
          <t>2026</t>
        </is>
      </c>
      <c r="N218" s="1" t="inlineStr">
        <is>
          <t>О</t>
        </is>
      </c>
      <c r="O218" s="9" t="n">
        <v>12</v>
      </c>
      <c r="P218" s="1">
        <f>ROUNDUP(990*(1-$F$3),2)</f>
        <v/>
      </c>
      <c r="Q218" s="1" t="inlineStr">
        <is>
          <t> </t>
        </is>
      </c>
      <c r="R218" s="1" t="inlineStr">
        <is>
          <t>978-5-386-14138-7</t>
        </is>
      </c>
      <c r="S218" s="1" t="inlineStr">
        <is>
          <t>9785386141387</t>
        </is>
      </c>
      <c r="T218" s="9" t="n">
        <v>10</v>
      </c>
      <c r="U218" s="1">
        <f>ROUNDUP(900*(1-$F$3),2)</f>
        <v/>
      </c>
      <c r="V218" s="1" t="n">
        <v>242</v>
      </c>
      <c r="Y218" s="1" t="inlineStr">
        <is>
          <t>Большое волшебство</t>
        </is>
      </c>
      <c r="Z218" s="1" t="inlineStr">
        <is>
          <t>16+</t>
        </is>
      </c>
      <c r="AA218" s="12" t="n">
        <v>44316</v>
      </c>
      <c r="AB218" s="1" t="inlineStr">
        <is>
          <t>Гуманитарные науки</t>
        </is>
      </c>
      <c r="AC218" s="1" t="inlineStr">
        <is>
          <t>Психология</t>
        </is>
      </c>
      <c r="AD218" s="1" t="inlineStr">
        <is>
          <t>Популярная психология</t>
        </is>
      </c>
      <c r="AE218" s="1" t="inlineStr">
        <is>
          <t>офсетная</t>
        </is>
      </c>
      <c r="AG218" s="1" t="n">
        <v>9668140</v>
      </c>
      <c r="AI218" s="1" t="inlineStr">
        <is>
          <t>4901990000</t>
        </is>
      </c>
    </row>
    <row r="219" customFormat="1" s="1">
      <c r="C219" s="1" t="inlineStr">
        <is>
          <t xml:space="preserve">10167610            </t>
        </is>
      </c>
      <c r="D219" s="1" t="inlineStr">
        <is>
          <t>Librarium</t>
        </is>
      </c>
      <c r="E219" s="1" t="inlineStr">
        <is>
          <t>В полночных звездах правды нет. Избранное. Киплинг Р.Дж.</t>
        </is>
      </c>
      <c r="F219" s="13" t="inlineStr">
        <is>
          <t>См.обл.</t>
        </is>
      </c>
      <c r="G219" s="1" t="inlineStr">
        <is>
          <t>Киплинг Р.Дж.</t>
        </is>
      </c>
      <c r="H219" s="1" t="inlineStr">
        <is>
          <t>80х100/32</t>
        </is>
      </c>
      <c r="I219" s="1" t="n">
        <v>368</v>
      </c>
      <c r="J219" s="1" t="inlineStr">
        <is>
          <t>РИПОЛ Классик</t>
        </is>
      </c>
      <c r="M219" s="1" t="inlineStr">
        <is>
          <t>2026</t>
        </is>
      </c>
      <c r="N219" s="1" t="inlineStr">
        <is>
          <t>О</t>
        </is>
      </c>
      <c r="O219" s="9" t="n">
        <v>12</v>
      </c>
      <c r="P219" s="1">
        <f>ROUNDUP(890*(1-$F$3),2)</f>
        <v/>
      </c>
      <c r="Q219" s="1" t="inlineStr">
        <is>
          <t> </t>
        </is>
      </c>
      <c r="R219" s="1" t="inlineStr">
        <is>
          <t>978-5-386-14633-7</t>
        </is>
      </c>
      <c r="S219" s="1" t="inlineStr">
        <is>
          <t>9785386146337</t>
        </is>
      </c>
      <c r="T219" s="9" t="n">
        <v>10</v>
      </c>
      <c r="U219" s="1">
        <f>ROUNDUP(809.09*(1-$F$3),2)</f>
        <v/>
      </c>
      <c r="V219" s="1" t="n">
        <v>269</v>
      </c>
      <c r="Y219" s="1" t="inlineStr">
        <is>
          <t>В полночных звездах правды нет. Избранное</t>
        </is>
      </c>
      <c r="Z219" s="1" t="inlineStr">
        <is>
          <t>16+</t>
        </is>
      </c>
      <c r="AA219" s="12" t="n">
        <v>44649</v>
      </c>
      <c r="AB219" s="1" t="inlineStr">
        <is>
          <t>Художественная литература</t>
        </is>
      </c>
      <c r="AC219" s="1" t="inlineStr">
        <is>
          <t>Поэзия</t>
        </is>
      </c>
      <c r="AD219" s="1" t="inlineStr">
        <is>
          <t>Зарубежная поэзия</t>
        </is>
      </c>
      <c r="AE219" s="1" t="inlineStr">
        <is>
          <t>офсетная</t>
        </is>
      </c>
      <c r="AG219" s="1" t="n">
        <v>10167610</v>
      </c>
      <c r="AI219" s="1" t="inlineStr">
        <is>
          <t>4901990000</t>
        </is>
      </c>
    </row>
    <row r="220" customFormat="1" s="1">
      <c r="C220" s="1" t="inlineStr">
        <is>
          <t xml:space="preserve">9859460             </t>
        </is>
      </c>
      <c r="D220" s="1" t="inlineStr">
        <is>
          <t>Librarium</t>
        </is>
      </c>
      <c r="E220" s="1" t="inlineStr">
        <is>
          <t>В пути. Гюисманс Ж.-К.</t>
        </is>
      </c>
      <c r="F220" s="13" t="inlineStr">
        <is>
          <t>См.обл.</t>
        </is>
      </c>
      <c r="G220" s="1" t="inlineStr">
        <is>
          <t>Гюисманс Ж.-К.</t>
        </is>
      </c>
      <c r="H220" s="1" t="inlineStr">
        <is>
          <t>80х100/32</t>
        </is>
      </c>
      <c r="I220" s="1" t="n">
        <v>382</v>
      </c>
      <c r="J220" s="1" t="inlineStr">
        <is>
          <t>РИПОЛ Классик</t>
        </is>
      </c>
      <c r="M220" s="1" t="inlineStr">
        <is>
          <t>2026</t>
        </is>
      </c>
      <c r="N220" s="1" t="inlineStr">
        <is>
          <t>О</t>
        </is>
      </c>
      <c r="O220" s="9" t="n">
        <v>10</v>
      </c>
      <c r="P220" s="1">
        <f>ROUNDUP(883.1*(1-$F$3),2)</f>
        <v/>
      </c>
      <c r="Q220" s="1" t="inlineStr">
        <is>
          <t> </t>
        </is>
      </c>
      <c r="R220" s="1" t="inlineStr">
        <is>
          <t>978-5-386-14512-5</t>
        </is>
      </c>
      <c r="S220" s="1" t="inlineStr">
        <is>
          <t>9785386145125</t>
        </is>
      </c>
      <c r="T220" s="9" t="n">
        <v>10</v>
      </c>
      <c r="U220" s="1">
        <f>ROUNDUP(802.82*(1-$F$3),2)</f>
        <v/>
      </c>
      <c r="V220" s="1" t="n">
        <v>285</v>
      </c>
      <c r="Y220" s="1" t="inlineStr">
        <is>
          <t>В пути</t>
        </is>
      </c>
      <c r="Z220" s="1" t="inlineStr">
        <is>
          <t>16+</t>
        </is>
      </c>
      <c r="AA220" s="12" t="n">
        <v>44445</v>
      </c>
      <c r="AB220" s="1" t="inlineStr">
        <is>
          <t>Художественная литература</t>
        </is>
      </c>
      <c r="AC220" s="1" t="inlineStr">
        <is>
          <t>Зарубежная литература</t>
        </is>
      </c>
      <c r="AD220" s="1" t="inlineStr">
        <is>
          <t>Европейская литература</t>
        </is>
      </c>
      <c r="AE220" s="1" t="inlineStr">
        <is>
          <t>офсетная</t>
        </is>
      </c>
      <c r="AG220" s="1" t="n">
        <v>9859460</v>
      </c>
      <c r="AI220" s="1" t="inlineStr">
        <is>
          <t>4901990000</t>
        </is>
      </c>
    </row>
    <row r="221" customFormat="1" s="1">
      <c r="C221" s="1" t="inlineStr">
        <is>
          <t xml:space="preserve">9766050             </t>
        </is>
      </c>
      <c r="D221" s="1" t="inlineStr">
        <is>
          <t>Librarium</t>
        </is>
      </c>
      <c r="E221" s="1" t="inlineStr">
        <is>
          <t>Ведьма. Мишле Ж.</t>
        </is>
      </c>
      <c r="F221" s="13" t="inlineStr">
        <is>
          <t>См.обл.</t>
        </is>
      </c>
      <c r="G221" s="1" t="inlineStr">
        <is>
          <t>Мишле Ж.</t>
        </is>
      </c>
      <c r="H221" s="1" t="inlineStr">
        <is>
          <t>80х100/32</t>
        </is>
      </c>
      <c r="I221" s="1" t="n">
        <v>314</v>
      </c>
      <c r="J221" s="1" t="inlineStr">
        <is>
          <t>РИПОЛ Классик</t>
        </is>
      </c>
      <c r="M221" s="1" t="inlineStr">
        <is>
          <t>2026</t>
        </is>
      </c>
      <c r="N221" s="1" t="inlineStr">
        <is>
          <t>О</t>
        </is>
      </c>
      <c r="O221" s="9" t="n">
        <v>14</v>
      </c>
      <c r="P221" s="1">
        <f>ROUNDUP(750*(1-$F$3),2)</f>
        <v/>
      </c>
      <c r="Q221" s="1" t="inlineStr">
        <is>
          <t> </t>
        </is>
      </c>
      <c r="R221" s="1" t="inlineStr">
        <is>
          <t>978-5-386-14395-4</t>
        </is>
      </c>
      <c r="S221" s="1" t="inlineStr">
        <is>
          <t>9785386143954</t>
        </is>
      </c>
      <c r="T221" s="9" t="n">
        <v>10</v>
      </c>
      <c r="U221" s="1">
        <f>ROUNDUP(681.82*(1-$F$3),2)</f>
        <v/>
      </c>
      <c r="V221" s="1" t="n">
        <v>209</v>
      </c>
      <c r="Y221" s="1" t="inlineStr">
        <is>
          <t>Ведьма</t>
        </is>
      </c>
      <c r="Z221" s="1" t="inlineStr">
        <is>
          <t>16+</t>
        </is>
      </c>
      <c r="AA221" s="12" t="n">
        <v>44473</v>
      </c>
      <c r="AB221" s="1" t="inlineStr">
        <is>
          <t>Художественная литература</t>
        </is>
      </c>
      <c r="AC221" s="1" t="inlineStr">
        <is>
          <t>Зарубежная литература</t>
        </is>
      </c>
      <c r="AD221" s="1" t="inlineStr">
        <is>
          <t>Европейская литература</t>
        </is>
      </c>
      <c r="AE221" s="1" t="inlineStr">
        <is>
          <t>офсетная</t>
        </is>
      </c>
      <c r="AG221" s="1" t="n">
        <v>9766050</v>
      </c>
      <c r="AI221" s="1" t="inlineStr">
        <is>
          <t>4901990000</t>
        </is>
      </c>
    </row>
    <row r="222" customFormat="1" s="1">
      <c r="C222" s="1" t="inlineStr">
        <is>
          <t xml:space="preserve">10367310            </t>
        </is>
      </c>
      <c r="D222" s="1" t="inlineStr">
        <is>
          <t>Librarium</t>
        </is>
      </c>
      <c r="E222" s="1" t="inlineStr">
        <is>
          <t>Воображаемые портреты. Патер У.</t>
        </is>
      </c>
      <c r="F222" s="13" t="inlineStr">
        <is>
          <t>См.обл.</t>
        </is>
      </c>
      <c r="G222" s="1" t="inlineStr">
        <is>
          <t>Патер У.</t>
        </is>
      </c>
      <c r="H222" s="1" t="inlineStr">
        <is>
          <t>80х100/32</t>
        </is>
      </c>
      <c r="I222" s="1" t="n">
        <v>378</v>
      </c>
      <c r="J222" s="1" t="inlineStr">
        <is>
          <t>РИПОЛ Классик</t>
        </is>
      </c>
      <c r="M222" s="1" t="inlineStr">
        <is>
          <t>2022</t>
        </is>
      </c>
      <c r="N222" s="1" t="inlineStr">
        <is>
          <t>О</t>
        </is>
      </c>
      <c r="O222" s="9" t="n">
        <v>14</v>
      </c>
      <c r="P222" s="1">
        <f>ROUNDUP(990*(1-$F$3),2)</f>
        <v/>
      </c>
      <c r="Q222" s="1" t="inlineStr">
        <is>
          <t> </t>
        </is>
      </c>
      <c r="R222" s="1" t="inlineStr">
        <is>
          <t>978-5-386-14691-7</t>
        </is>
      </c>
      <c r="S222" s="1" t="inlineStr">
        <is>
          <t>9785386146917</t>
        </is>
      </c>
      <c r="T222" s="9" t="n">
        <v>10</v>
      </c>
      <c r="U222" s="1">
        <f>ROUNDUP(900*(1-$F$3),2)</f>
        <v/>
      </c>
      <c r="V222" s="1" t="n">
        <v>282</v>
      </c>
      <c r="Y222" s="1" t="inlineStr">
        <is>
          <t>Воображаемые портреты</t>
        </is>
      </c>
      <c r="Z222" s="1" t="inlineStr">
        <is>
          <t>16+</t>
        </is>
      </c>
      <c r="AA222" s="12" t="n">
        <v>44707</v>
      </c>
      <c r="AB222" s="1" t="inlineStr">
        <is>
          <t>Художественная литература</t>
        </is>
      </c>
      <c r="AC222" s="1" t="inlineStr">
        <is>
          <t>Зарубежная литература</t>
        </is>
      </c>
      <c r="AD222" s="1" t="inlineStr">
        <is>
          <t>Литература Америки и Австралии</t>
        </is>
      </c>
      <c r="AE222" s="1" t="inlineStr">
        <is>
          <t>офсетная</t>
        </is>
      </c>
      <c r="AG222" s="1" t="n">
        <v>10367310</v>
      </c>
      <c r="AI222" s="1" t="inlineStr">
        <is>
          <t>4901990000</t>
        </is>
      </c>
    </row>
    <row r="223" customFormat="1" s="1">
      <c r="C223" s="1" t="inlineStr">
        <is>
          <t xml:space="preserve">9681480             </t>
        </is>
      </c>
      <c r="D223" s="1" t="inlineStr">
        <is>
          <t>Librarium</t>
        </is>
      </c>
      <c r="E223" s="1" t="inlineStr">
        <is>
          <t>Герой нашего времени. Лермонтов М.Ю</t>
        </is>
      </c>
      <c r="F223" s="13" t="inlineStr">
        <is>
          <t>См.обл.</t>
        </is>
      </c>
      <c r="G223" s="1" t="inlineStr">
        <is>
          <t>Лермонтов М.Ю</t>
        </is>
      </c>
      <c r="H223" s="1" t="inlineStr">
        <is>
          <t>80х100/32</t>
        </is>
      </c>
      <c r="I223" s="1" t="n">
        <v>252</v>
      </c>
      <c r="J223" s="1" t="inlineStr">
        <is>
          <t>РИПОЛ Классик</t>
        </is>
      </c>
      <c r="M223" s="1" t="inlineStr">
        <is>
          <t>2026</t>
        </is>
      </c>
      <c r="N223" s="1" t="inlineStr">
        <is>
          <t>О</t>
        </is>
      </c>
      <c r="O223" s="9" t="n">
        <v>16</v>
      </c>
      <c r="P223" s="1">
        <f>ROUNDUP(860.1*(1-$F$3),2)</f>
        <v/>
      </c>
      <c r="Q223" s="1" t="inlineStr">
        <is>
          <t> </t>
        </is>
      </c>
      <c r="R223" s="1" t="inlineStr">
        <is>
          <t>978-5-386-14231-5</t>
        </is>
      </c>
      <c r="S223" s="1" t="inlineStr">
        <is>
          <t>9785386142315</t>
        </is>
      </c>
      <c r="T223" s="9" t="n">
        <v>10</v>
      </c>
      <c r="U223" s="1">
        <f>ROUNDUP(781.91*(1-$F$3),2)</f>
        <v/>
      </c>
      <c r="V223" s="1" t="n">
        <v>187</v>
      </c>
      <c r="Y223" s="1" t="inlineStr">
        <is>
          <t>Герой нашего времени</t>
        </is>
      </c>
      <c r="Z223" s="1" t="inlineStr">
        <is>
          <t>12+</t>
        </is>
      </c>
      <c r="AA223" s="12" t="n">
        <v>44676</v>
      </c>
      <c r="AB223" s="1" t="inlineStr">
        <is>
          <t>Художественная литература</t>
        </is>
      </c>
      <c r="AC223" s="1" t="inlineStr">
        <is>
          <t>Русская литература</t>
        </is>
      </c>
      <c r="AD223" s="1" t="inlineStr">
        <is>
          <t>Русская литература XVIII-нач. XX вв. (до 1917 г.)</t>
        </is>
      </c>
      <c r="AE223" s="1" t="inlineStr">
        <is>
          <t>офсетная</t>
        </is>
      </c>
      <c r="AG223" s="1" t="n">
        <v>9681480</v>
      </c>
      <c r="AI223" s="1" t="inlineStr">
        <is>
          <t>4901990000</t>
        </is>
      </c>
    </row>
    <row r="224" customFormat="1" s="1">
      <c r="C224" s="1" t="inlineStr">
        <is>
          <t xml:space="preserve">10232870            </t>
        </is>
      </c>
      <c r="D224" s="1" t="inlineStr">
        <is>
          <t>Librarium</t>
        </is>
      </c>
      <c r="E224" s="1" t="inlineStr">
        <is>
          <t>Годы странствий. SELVA OSCURA. Волошин М.А.</t>
        </is>
      </c>
      <c r="F224" s="13" t="inlineStr">
        <is>
          <t>См.обл.</t>
        </is>
      </c>
      <c r="G224" s="1" t="inlineStr">
        <is>
          <t>Волошин М.А.</t>
        </is>
      </c>
      <c r="H224" s="1" t="inlineStr">
        <is>
          <t>80х100/32</t>
        </is>
      </c>
      <c r="I224" s="1" t="n">
        <v>214</v>
      </c>
      <c r="J224" s="1" t="inlineStr">
        <is>
          <t>РИПОЛ Классик</t>
        </is>
      </c>
      <c r="M224" s="1" t="inlineStr">
        <is>
          <t>2026</t>
        </is>
      </c>
      <c r="N224" s="1" t="inlineStr">
        <is>
          <t>О</t>
        </is>
      </c>
      <c r="O224" s="9" t="n">
        <v>20</v>
      </c>
      <c r="P224" s="1">
        <f>ROUNDUP(846.5*(1-$F$3),2)</f>
        <v/>
      </c>
      <c r="Q224" s="1" t="inlineStr">
        <is>
          <t> </t>
        </is>
      </c>
      <c r="R224" s="1" t="inlineStr">
        <is>
          <t>978-5-386-14654-2</t>
        </is>
      </c>
      <c r="S224" s="1" t="inlineStr">
        <is>
          <t>9785386146542</t>
        </is>
      </c>
      <c r="T224" s="9" t="n">
        <v>10</v>
      </c>
      <c r="U224" s="1">
        <f>ROUNDUP(769.55*(1-$F$3),2)</f>
        <v/>
      </c>
      <c r="V224" s="1" t="n">
        <v>146</v>
      </c>
      <c r="Y224" s="1" t="inlineStr">
        <is>
          <t>Годы странствий. SELVA OSCURA</t>
        </is>
      </c>
      <c r="Z224" s="1" t="inlineStr">
        <is>
          <t>12+</t>
        </is>
      </c>
      <c r="AA224" s="12" t="n">
        <v>44676</v>
      </c>
      <c r="AB224" s="1" t="inlineStr">
        <is>
          <t>Художественная литература</t>
        </is>
      </c>
      <c r="AC224" s="1" t="inlineStr">
        <is>
          <t>Поэзия</t>
        </is>
      </c>
      <c r="AD224" s="1" t="inlineStr">
        <is>
          <t>Русская поэзия</t>
        </is>
      </c>
      <c r="AE224" s="1" t="inlineStr">
        <is>
          <t>офсетная</t>
        </is>
      </c>
      <c r="AG224" s="1" t="n">
        <v>10232870</v>
      </c>
      <c r="AI224" s="1" t="inlineStr">
        <is>
          <t>4901990000</t>
        </is>
      </c>
    </row>
    <row r="225" customFormat="1" s="1">
      <c r="C225" s="1" t="inlineStr">
        <is>
          <t xml:space="preserve">10151040            </t>
        </is>
      </c>
      <c r="D225" s="1" t="inlineStr">
        <is>
          <t>Librarium</t>
        </is>
      </c>
      <c r="E225" s="1" t="inlineStr">
        <is>
          <t>Горемыка Павел. Горький М.</t>
        </is>
      </c>
      <c r="F225" s="13" t="inlineStr">
        <is>
          <t>См.обл.</t>
        </is>
      </c>
      <c r="G225" s="1" t="inlineStr">
        <is>
          <t>Горький М.</t>
        </is>
      </c>
      <c r="H225" s="1" t="inlineStr">
        <is>
          <t>80х100/32</t>
        </is>
      </c>
      <c r="I225" s="1" t="n">
        <v>382</v>
      </c>
      <c r="J225" s="1" t="inlineStr">
        <is>
          <t>РИПОЛ Классик</t>
        </is>
      </c>
      <c r="M225" s="1" t="inlineStr">
        <is>
          <t>2026</t>
        </is>
      </c>
      <c r="N225" s="1" t="inlineStr">
        <is>
          <t>О</t>
        </is>
      </c>
      <c r="O225" s="9" t="n">
        <v>10</v>
      </c>
      <c r="P225" s="1">
        <f>ROUNDUP(790*(1-$F$3),2)</f>
        <v/>
      </c>
      <c r="Q225" s="1" t="inlineStr">
        <is>
          <t> </t>
        </is>
      </c>
      <c r="R225" s="1" t="inlineStr">
        <is>
          <t>978-5-386-14620-7</t>
        </is>
      </c>
      <c r="S225" s="1" t="inlineStr">
        <is>
          <t>9785386146207</t>
        </is>
      </c>
      <c r="T225" s="9" t="n">
        <v>10</v>
      </c>
      <c r="U225" s="1">
        <f>ROUNDUP(718.18*(1-$F$3),2)</f>
        <v/>
      </c>
      <c r="V225" s="1" t="n">
        <v>285</v>
      </c>
      <c r="Y225" s="1" t="inlineStr">
        <is>
          <t>Горемыка Павел</t>
        </is>
      </c>
      <c r="Z225" s="1" t="inlineStr">
        <is>
          <t>12+</t>
        </is>
      </c>
      <c r="AA225" s="12" t="n">
        <v>44704</v>
      </c>
      <c r="AB225" s="1" t="inlineStr">
        <is>
          <t>Художественная литература</t>
        </is>
      </c>
      <c r="AC225" s="1" t="inlineStr">
        <is>
          <t>Русская литература</t>
        </is>
      </c>
      <c r="AD225" s="1" t="inlineStr">
        <is>
          <t>Русская литература XVIII-нач. XX вв. (до 1917 г.)</t>
        </is>
      </c>
      <c r="AE225" s="1" t="inlineStr">
        <is>
          <t>офсетная</t>
        </is>
      </c>
      <c r="AG225" s="1" t="n">
        <v>10151040</v>
      </c>
      <c r="AI225" s="1" t="inlineStr">
        <is>
          <t>4901990000</t>
        </is>
      </c>
    </row>
    <row r="226" customFormat="1" s="1">
      <c r="C226" s="1" t="inlineStr">
        <is>
          <t xml:space="preserve">9769380             </t>
        </is>
      </c>
      <c r="D226" s="1" t="inlineStr">
        <is>
          <t>Librarium</t>
        </is>
      </c>
      <c r="E226" s="1" t="inlineStr">
        <is>
          <t>Грядущая раса. Бульвер-Литтон Э.Дж.</t>
        </is>
      </c>
      <c r="F226" s="13" t="inlineStr">
        <is>
          <t>См.обл.</t>
        </is>
      </c>
      <c r="G226" s="1" t="inlineStr">
        <is>
          <t>Бульвер-Литтон Э.Дж.</t>
        </is>
      </c>
      <c r="H226" s="1" t="inlineStr">
        <is>
          <t>80х100/32</t>
        </is>
      </c>
      <c r="I226" s="1" t="n">
        <v>212</v>
      </c>
      <c r="J226" s="1" t="inlineStr">
        <is>
          <t>РИПОЛ Классик</t>
        </is>
      </c>
      <c r="M226" s="1" t="inlineStr">
        <is>
          <t>2026</t>
        </is>
      </c>
      <c r="N226" s="1" t="inlineStr">
        <is>
          <t>О</t>
        </is>
      </c>
      <c r="O226" s="9" t="n">
        <v>16</v>
      </c>
      <c r="P226" s="1">
        <f>ROUNDUP(779.9*(1-$F$3),2)</f>
        <v/>
      </c>
      <c r="Q226" s="1" t="inlineStr">
        <is>
          <t> </t>
        </is>
      </c>
      <c r="R226" s="1" t="inlineStr">
        <is>
          <t>978-5-386-14400-5</t>
        </is>
      </c>
      <c r="S226" s="1" t="inlineStr">
        <is>
          <t>9785386144005</t>
        </is>
      </c>
      <c r="T226" s="9" t="n">
        <v>10</v>
      </c>
      <c r="U226" s="1">
        <f>ROUNDUP(709*(1-$F$3),2)</f>
        <v/>
      </c>
      <c r="V226" s="1" t="n">
        <v>162</v>
      </c>
      <c r="Y226" s="1" t="inlineStr">
        <is>
          <t>Грядущая раса</t>
        </is>
      </c>
      <c r="Z226" s="1" t="inlineStr">
        <is>
          <t>16+</t>
        </is>
      </c>
      <c r="AA226" s="12" t="n">
        <v>44473</v>
      </c>
      <c r="AB226" s="1" t="inlineStr">
        <is>
          <t>Художественная литература</t>
        </is>
      </c>
      <c r="AC226" s="1" t="inlineStr">
        <is>
          <t>Зарубежная литература</t>
        </is>
      </c>
      <c r="AD226" s="1" t="inlineStr">
        <is>
          <t>Европейская литература</t>
        </is>
      </c>
      <c r="AE226" s="1" t="inlineStr">
        <is>
          <t>офсетная</t>
        </is>
      </c>
      <c r="AG226" s="1" t="n">
        <v>9769380</v>
      </c>
      <c r="AI226" s="1" t="inlineStr">
        <is>
          <t>4901990000</t>
        </is>
      </c>
    </row>
    <row r="227" customFormat="1" s="1">
      <c r="C227" s="1" t="inlineStr">
        <is>
          <t xml:space="preserve">8452410             </t>
        </is>
      </c>
      <c r="D227" s="1" t="inlineStr">
        <is>
          <t>Librarium</t>
        </is>
      </c>
      <c r="E227" s="1" t="inlineStr">
        <is>
          <t>Дафнис и Хлоя. Лонг</t>
        </is>
      </c>
      <c r="F227" s="13" t="inlineStr">
        <is>
          <t>См.обл.</t>
        </is>
      </c>
      <c r="G227" s="1" t="inlineStr">
        <is>
          <t>Лонг</t>
        </is>
      </c>
      <c r="H227" s="1" t="inlineStr">
        <is>
          <t>80х100/32</t>
        </is>
      </c>
      <c r="I227" s="1" t="n">
        <v>222</v>
      </c>
      <c r="J227" s="1" t="inlineStr">
        <is>
          <t>РИПОЛ Классик</t>
        </is>
      </c>
      <c r="M227" s="1" t="inlineStr">
        <is>
          <t>2026</t>
        </is>
      </c>
      <c r="N227" s="1" t="inlineStr">
        <is>
          <t>О</t>
        </is>
      </c>
      <c r="O227" s="9" t="n">
        <v>10</v>
      </c>
      <c r="P227" s="1">
        <f>ROUNDUP(750*(1-$F$3),2)</f>
        <v/>
      </c>
      <c r="Q227" s="1" t="inlineStr">
        <is>
          <t> </t>
        </is>
      </c>
      <c r="R227" s="1" t="inlineStr">
        <is>
          <t>978-5-386-10528-0</t>
        </is>
      </c>
      <c r="S227" s="1" t="inlineStr">
        <is>
          <t>9785386105280</t>
        </is>
      </c>
      <c r="T227" s="9" t="n">
        <v>10</v>
      </c>
      <c r="U227" s="1">
        <f>ROUNDUP(681.82*(1-$F$3),2)</f>
        <v/>
      </c>
      <c r="V227" s="1" t="n">
        <v>154</v>
      </c>
      <c r="Y227" s="1" t="inlineStr">
        <is>
          <t>Дафнис и Хлоя</t>
        </is>
      </c>
      <c r="Z227" s="1" t="inlineStr">
        <is>
          <t>12+</t>
        </is>
      </c>
      <c r="AA227" s="12" t="n">
        <v>43129</v>
      </c>
      <c r="AB227" s="1" t="inlineStr">
        <is>
          <t>Художественная литература</t>
        </is>
      </c>
      <c r="AC227" s="1" t="inlineStr">
        <is>
          <t>Зарубежная литература</t>
        </is>
      </c>
      <c r="AD227" s="1" t="inlineStr">
        <is>
          <t>Литература Древнего мира, Античности и Средних веков</t>
        </is>
      </c>
      <c r="AE227" s="1" t="inlineStr">
        <is>
          <t>офсетная</t>
        </is>
      </c>
      <c r="AG227" s="1" t="n">
        <v>8452410</v>
      </c>
      <c r="AI227" s="1" t="inlineStr">
        <is>
          <t>4901990000</t>
        </is>
      </c>
    </row>
    <row r="228" customFormat="1" s="1">
      <c r="C228" s="1" t="inlineStr">
        <is>
          <t xml:space="preserve">9764190             </t>
        </is>
      </c>
      <c r="D228" s="1" t="inlineStr">
        <is>
          <t>Librarium</t>
        </is>
      </c>
      <c r="E228" s="1" t="inlineStr">
        <is>
          <t>Детские. Ларбо В.</t>
        </is>
      </c>
      <c r="F228" s="13" t="inlineStr">
        <is>
          <t>См.обл.</t>
        </is>
      </c>
      <c r="G228" s="1" t="inlineStr">
        <is>
          <t>Ларбо В.</t>
        </is>
      </c>
      <c r="H228" s="1" t="inlineStr">
        <is>
          <t>80х100/32</t>
        </is>
      </c>
      <c r="I228" s="1" t="n">
        <v>230</v>
      </c>
      <c r="J228" s="1" t="inlineStr">
        <is>
          <t>РИПОЛ Классик</t>
        </is>
      </c>
      <c r="M228" s="1" t="inlineStr">
        <is>
          <t>2021</t>
        </is>
      </c>
      <c r="N228" s="1" t="inlineStr">
        <is>
          <t>О</t>
        </is>
      </c>
      <c r="O228" s="9" t="n">
        <v>18</v>
      </c>
      <c r="P228" s="1">
        <f>ROUNDUP(750*(1-$F$3),2)</f>
        <v/>
      </c>
      <c r="Q228" s="1" t="inlineStr">
        <is>
          <t> </t>
        </is>
      </c>
      <c r="R228" s="1" t="inlineStr">
        <is>
          <t>978-5-386-14347-3</t>
        </is>
      </c>
      <c r="S228" s="1" t="inlineStr">
        <is>
          <t>9785386143473</t>
        </is>
      </c>
      <c r="T228" s="9" t="n">
        <v>10</v>
      </c>
      <c r="U228" s="1">
        <f>ROUNDUP(681.82*(1-$F$3),2)</f>
        <v/>
      </c>
      <c r="V228" s="1" t="n">
        <v>176</v>
      </c>
      <c r="Y228" s="1" t="inlineStr">
        <is>
          <t>Детские</t>
        </is>
      </c>
      <c r="Z228" s="1" t="inlineStr">
        <is>
          <t>16+</t>
        </is>
      </c>
      <c r="AA228" s="12" t="n">
        <v>44473</v>
      </c>
      <c r="AB228" s="1" t="inlineStr">
        <is>
          <t>Художественная литература</t>
        </is>
      </c>
      <c r="AC228" s="1" t="inlineStr">
        <is>
          <t>Зарубежная литература</t>
        </is>
      </c>
      <c r="AD228" s="1" t="inlineStr">
        <is>
          <t>Европейская литература</t>
        </is>
      </c>
      <c r="AE228" s="1" t="inlineStr">
        <is>
          <t>офсетная</t>
        </is>
      </c>
      <c r="AG228" s="1" t="n">
        <v>9764190</v>
      </c>
      <c r="AI228" s="1" t="inlineStr">
        <is>
          <t>4901990000</t>
        </is>
      </c>
    </row>
    <row r="229" customFormat="1" s="1">
      <c r="C229" s="1" t="inlineStr">
        <is>
          <t xml:space="preserve">9727400             </t>
        </is>
      </c>
      <c r="D229" s="1" t="inlineStr">
        <is>
          <t>Librarium</t>
        </is>
      </c>
      <c r="E229" s="1" t="inlineStr">
        <is>
          <t>Дневник обольстителя. Кьеркегор С.</t>
        </is>
      </c>
      <c r="F229" s="13" t="inlineStr">
        <is>
          <t>См.обл.</t>
        </is>
      </c>
      <c r="G229" s="1" t="inlineStr">
        <is>
          <t>Кьеркегор С.</t>
        </is>
      </c>
      <c r="H229" s="1" t="inlineStr">
        <is>
          <t>80х100/32</t>
        </is>
      </c>
      <c r="I229" s="1" t="n">
        <v>262</v>
      </c>
      <c r="J229" s="1" t="inlineStr">
        <is>
          <t>РИПОЛ Классик</t>
        </is>
      </c>
      <c r="M229" s="1" t="inlineStr">
        <is>
          <t>2026</t>
        </is>
      </c>
      <c r="N229" s="1" t="inlineStr">
        <is>
          <t>О</t>
        </is>
      </c>
      <c r="O229" s="9" t="n">
        <v>16</v>
      </c>
      <c r="P229" s="1">
        <f>ROUNDUP(750*(1-$F$3),2)</f>
        <v/>
      </c>
      <c r="Q229" s="1" t="inlineStr">
        <is>
          <t> </t>
        </is>
      </c>
      <c r="R229" s="1" t="inlineStr">
        <is>
          <t>978-5-386-14333-6</t>
        </is>
      </c>
      <c r="S229" s="1" t="inlineStr">
        <is>
          <t>9785386143336</t>
        </is>
      </c>
      <c r="T229" s="9" t="n">
        <v>10</v>
      </c>
      <c r="U229" s="1">
        <f>ROUNDUP(681.82*(1-$F$3),2)</f>
        <v/>
      </c>
      <c r="V229" s="1" t="n">
        <v>178</v>
      </c>
      <c r="Y229" s="1" t="inlineStr">
        <is>
          <t>Дневник обольстителя</t>
        </is>
      </c>
      <c r="Z229" s="1" t="inlineStr">
        <is>
          <t>16+</t>
        </is>
      </c>
      <c r="AA229" s="12" t="n">
        <v>44363</v>
      </c>
      <c r="AB229" s="1" t="inlineStr">
        <is>
          <t>Художественная литература</t>
        </is>
      </c>
      <c r="AC229" s="1" t="inlineStr">
        <is>
          <t>Зарубежная литература</t>
        </is>
      </c>
      <c r="AD229" s="1" t="inlineStr">
        <is>
          <t>Европейская литература</t>
        </is>
      </c>
      <c r="AE229" s="1" t="inlineStr">
        <is>
          <t>офсетная</t>
        </is>
      </c>
      <c r="AG229" s="1" t="n">
        <v>9727400</v>
      </c>
      <c r="AI229" s="1" t="inlineStr">
        <is>
          <t>4901990000</t>
        </is>
      </c>
    </row>
    <row r="230" customFormat="1" s="1">
      <c r="C230" s="1" t="inlineStr">
        <is>
          <t xml:space="preserve">9699760             </t>
        </is>
      </c>
      <c r="D230" s="1" t="inlineStr">
        <is>
          <t>Librarium</t>
        </is>
      </c>
      <c r="E230" s="1" t="inlineStr">
        <is>
          <t>Дракула. Стокер Б.</t>
        </is>
      </c>
      <c r="F230" s="13" t="inlineStr">
        <is>
          <t>См.обл.</t>
        </is>
      </c>
      <c r="G230" s="1" t="inlineStr">
        <is>
          <t>Стокер Б.</t>
        </is>
      </c>
      <c r="H230" s="1" t="inlineStr">
        <is>
          <t>80х100/32</t>
        </is>
      </c>
      <c r="I230" s="1" t="n">
        <v>322</v>
      </c>
      <c r="J230" s="1" t="inlineStr">
        <is>
          <t>РИПОЛ Классик</t>
        </is>
      </c>
      <c r="M230" s="1" t="inlineStr">
        <is>
          <t>2026</t>
        </is>
      </c>
      <c r="N230" s="1" t="inlineStr">
        <is>
          <t>О</t>
        </is>
      </c>
      <c r="O230" s="9" t="n">
        <v>12</v>
      </c>
      <c r="P230" s="1">
        <f>ROUNDUP(853.5*(1-$F$3),2)</f>
        <v/>
      </c>
      <c r="Q230" s="1" t="inlineStr">
        <is>
          <t> </t>
        </is>
      </c>
      <c r="R230" s="1" t="inlineStr">
        <is>
          <t>978-5-386-14064-9</t>
        </is>
      </c>
      <c r="S230" s="1" t="inlineStr">
        <is>
          <t>9785386140649</t>
        </is>
      </c>
      <c r="T230" s="9" t="n">
        <v>10</v>
      </c>
      <c r="U230" s="1">
        <f>ROUNDUP(775.91*(1-$F$3),2)</f>
        <v/>
      </c>
      <c r="V230" s="1" t="n">
        <v>239</v>
      </c>
      <c r="Y230" s="1" t="inlineStr">
        <is>
          <t>Дракула</t>
        </is>
      </c>
      <c r="Z230" s="1" t="inlineStr">
        <is>
          <t>16+</t>
        </is>
      </c>
      <c r="AA230" s="12" t="n">
        <v>44305</v>
      </c>
      <c r="AB230" s="1" t="inlineStr">
        <is>
          <t>Художественная литература</t>
        </is>
      </c>
      <c r="AC230" s="1" t="inlineStr">
        <is>
          <t>Фантастика. Мистика. Ужасы</t>
        </is>
      </c>
      <c r="AD230" s="1" t="inlineStr">
        <is>
          <t>Мистика. Ужасы</t>
        </is>
      </c>
      <c r="AE230" s="1" t="inlineStr">
        <is>
          <t>офсетная</t>
        </is>
      </c>
      <c r="AG230" s="1" t="n">
        <v>9699760</v>
      </c>
      <c r="AI230" s="1" t="inlineStr">
        <is>
          <t>4901990000</t>
        </is>
      </c>
    </row>
    <row r="231" customFormat="1" s="1">
      <c r="C231" s="1" t="inlineStr">
        <is>
          <t xml:space="preserve">9709510             </t>
        </is>
      </c>
      <c r="D231" s="1" t="inlineStr">
        <is>
          <t>Librarium</t>
        </is>
      </c>
      <c r="E231" s="1" t="inlineStr">
        <is>
          <t xml:space="preserve">Дуэльный кодекс. </t>
        </is>
      </c>
      <c r="F231" s="13" t="inlineStr">
        <is>
          <t>См.обл.</t>
        </is>
      </c>
      <c r="H231" s="1" t="inlineStr">
        <is>
          <t>80х100/32</t>
        </is>
      </c>
      <c r="I231" s="1" t="n">
        <v>216</v>
      </c>
      <c r="J231" s="1" t="inlineStr">
        <is>
          <t>РИПОЛ Классик</t>
        </is>
      </c>
      <c r="M231" s="1" t="inlineStr">
        <is>
          <t>2026</t>
        </is>
      </c>
      <c r="N231" s="1" t="inlineStr">
        <is>
          <t>О</t>
        </is>
      </c>
      <c r="O231" s="9" t="n">
        <v>20</v>
      </c>
      <c r="P231" s="1">
        <f>ROUNDUP(779.9*(1-$F$3),2)</f>
        <v/>
      </c>
      <c r="Q231" s="1" t="inlineStr">
        <is>
          <t> </t>
        </is>
      </c>
      <c r="R231" s="1" t="inlineStr">
        <is>
          <t>978-5-386-14310-7</t>
        </is>
      </c>
      <c r="S231" s="1" t="inlineStr">
        <is>
          <t>9785386143107</t>
        </is>
      </c>
      <c r="T231" s="9" t="n">
        <v>10</v>
      </c>
      <c r="U231" s="1">
        <f>ROUNDUP(709*(1-$F$3),2)</f>
        <v/>
      </c>
      <c r="V231" s="1" t="n">
        <v>195</v>
      </c>
      <c r="Y231" s="1" t="inlineStr">
        <is>
          <t>Дуэльный кодекс</t>
        </is>
      </c>
      <c r="Z231" s="1" t="inlineStr">
        <is>
          <t>12+</t>
        </is>
      </c>
      <c r="AA231" s="12" t="n">
        <v>44363</v>
      </c>
      <c r="AB231" s="1" t="inlineStr">
        <is>
          <t>Гуманитарные науки</t>
        </is>
      </c>
      <c r="AC231" s="1" t="inlineStr">
        <is>
          <t>Культура. Культурология</t>
        </is>
      </c>
      <c r="AD231" s="1" t="inlineStr">
        <is>
          <t>История культуры</t>
        </is>
      </c>
      <c r="AE231" s="1" t="inlineStr">
        <is>
          <t>офсетная</t>
        </is>
      </c>
      <c r="AG231" s="1" t="n">
        <v>9709510</v>
      </c>
      <c r="AI231" s="1" t="inlineStr">
        <is>
          <t>4901990000</t>
        </is>
      </c>
    </row>
    <row r="232" customFormat="1" s="1">
      <c r="C232" s="1" t="inlineStr">
        <is>
          <t xml:space="preserve">9687810             </t>
        </is>
      </c>
      <c r="D232" s="1" t="inlineStr">
        <is>
          <t>Librarium</t>
        </is>
      </c>
      <c r="E232" s="1" t="inlineStr">
        <is>
          <t>Евгений Онегин. Пушкин А.С</t>
        </is>
      </c>
      <c r="F232" s="13" t="inlineStr">
        <is>
          <t>См.обл.</t>
        </is>
      </c>
      <c r="G232" s="1" t="inlineStr">
        <is>
          <t>Пушкин А.С</t>
        </is>
      </c>
      <c r="H232" s="1" t="inlineStr">
        <is>
          <t>80х100/32</t>
        </is>
      </c>
      <c r="I232" s="1" t="n">
        <v>284</v>
      </c>
      <c r="J232" s="1" t="inlineStr">
        <is>
          <t>РИПОЛ Классик</t>
        </is>
      </c>
      <c r="M232" s="1" t="inlineStr">
        <is>
          <t>2026</t>
        </is>
      </c>
      <c r="N232" s="1" t="inlineStr">
        <is>
          <t>О</t>
        </is>
      </c>
      <c r="O232" s="9" t="n">
        <v>14</v>
      </c>
      <c r="P232" s="1">
        <f>ROUNDUP(750*(1-$F$3),2)</f>
        <v/>
      </c>
      <c r="Q232" s="1" t="inlineStr">
        <is>
          <t> </t>
        </is>
      </c>
      <c r="R232" s="1" t="inlineStr">
        <is>
          <t>978-5-386-14235-3</t>
        </is>
      </c>
      <c r="S232" s="1" t="inlineStr">
        <is>
          <t>9785386142353</t>
        </is>
      </c>
      <c r="T232" s="9" t="n">
        <v>10</v>
      </c>
      <c r="U232" s="1">
        <f>ROUNDUP(681.82*(1-$F$3),2)</f>
        <v/>
      </c>
      <c r="V232" s="1" t="n">
        <v>217</v>
      </c>
      <c r="Y232" s="1" t="inlineStr">
        <is>
          <t>Евгений Онегин</t>
        </is>
      </c>
      <c r="Z232" s="1" t="inlineStr">
        <is>
          <t>12+</t>
        </is>
      </c>
      <c r="AA232" s="12" t="n">
        <v>44363</v>
      </c>
      <c r="AB232" s="1" t="inlineStr">
        <is>
          <t>Художественная литература</t>
        </is>
      </c>
      <c r="AC232" s="1" t="inlineStr">
        <is>
          <t>Поэзия</t>
        </is>
      </c>
      <c r="AD232" s="1" t="inlineStr">
        <is>
          <t>Русская поэзия</t>
        </is>
      </c>
      <c r="AE232" s="1" t="inlineStr">
        <is>
          <t>офсетная</t>
        </is>
      </c>
      <c r="AG232" s="1" t="n">
        <v>9687810</v>
      </c>
      <c r="AI232" s="1" t="inlineStr">
        <is>
          <t>4901990000</t>
        </is>
      </c>
    </row>
    <row r="233" customFormat="1" s="1">
      <c r="C233" s="1" t="inlineStr">
        <is>
          <t xml:space="preserve">9797790             </t>
        </is>
      </c>
      <c r="D233" s="1" t="inlineStr">
        <is>
          <t>Librarium</t>
        </is>
      </c>
      <c r="E233" s="1" t="inlineStr">
        <is>
          <t>Единство со всей жизнью. Толле Э.</t>
        </is>
      </c>
      <c r="F233" s="13" t="inlineStr">
        <is>
          <t>См.обл.</t>
        </is>
      </c>
      <c r="G233" s="1" t="inlineStr">
        <is>
          <t>Толле Э.</t>
        </is>
      </c>
      <c r="H233" s="1" t="inlineStr">
        <is>
          <t>80х100/32</t>
        </is>
      </c>
      <c r="I233" s="1" t="n">
        <v>176</v>
      </c>
      <c r="J233" s="1" t="inlineStr">
        <is>
          <t>РИПОЛ Классик</t>
        </is>
      </c>
      <c r="M233" s="1" t="inlineStr">
        <is>
          <t>2026</t>
        </is>
      </c>
      <c r="N233" s="1" t="inlineStr">
        <is>
          <t>О</t>
        </is>
      </c>
      <c r="O233" s="9" t="n">
        <v>25</v>
      </c>
      <c r="P233" s="1">
        <f>ROUNDUP(750*(1-$F$3),2)</f>
        <v/>
      </c>
      <c r="Q233" s="1" t="inlineStr">
        <is>
          <t> </t>
        </is>
      </c>
      <c r="R233" s="1" t="inlineStr">
        <is>
          <t>978-5-386-14477-7</t>
        </is>
      </c>
      <c r="S233" s="1" t="inlineStr">
        <is>
          <t>9785386144777</t>
        </is>
      </c>
      <c r="T233" s="9" t="n">
        <v>10</v>
      </c>
      <c r="U233" s="1">
        <f>ROUNDUP(681.82*(1-$F$3),2)</f>
        <v/>
      </c>
      <c r="V233" s="1" t="n">
        <v>159</v>
      </c>
      <c r="Y233" s="1" t="inlineStr">
        <is>
          <t>Единство со всей жизнью</t>
        </is>
      </c>
      <c r="Z233" s="1" t="inlineStr">
        <is>
          <t>12+</t>
        </is>
      </c>
      <c r="AA233" s="12" t="n">
        <v>44483</v>
      </c>
      <c r="AB233" s="1" t="inlineStr">
        <is>
          <t>Религии. Эзотерика. Оккультизм</t>
        </is>
      </c>
      <c r="AC233" s="1" t="inlineStr">
        <is>
          <t>Эзотерика. Парапсихология. Тайны</t>
        </is>
      </c>
      <c r="AD233" s="1" t="inlineStr">
        <is>
          <t>Эзотерические учения. Теософия</t>
        </is>
      </c>
      <c r="AE233" s="1" t="inlineStr">
        <is>
          <t>офсетная</t>
        </is>
      </c>
      <c r="AG233" s="1" t="n">
        <v>9797790</v>
      </c>
      <c r="AI233" s="1" t="inlineStr">
        <is>
          <t>4901990000</t>
        </is>
      </c>
    </row>
    <row r="234" customFormat="1" s="1">
      <c r="C234" s="1" t="inlineStr">
        <is>
          <t xml:space="preserve">8558590             </t>
        </is>
      </c>
      <c r="D234" s="1" t="inlineStr">
        <is>
          <t>Librarium</t>
        </is>
      </c>
      <c r="E234" s="1" t="inlineStr">
        <is>
          <t>Жизнь есть сон. Кальдерон де ла Барка П</t>
        </is>
      </c>
      <c r="F234" s="13" t="inlineStr">
        <is>
          <t>См.обл.</t>
        </is>
      </c>
      <c r="G234" s="1" t="inlineStr">
        <is>
          <t>Кальдерон де ла Барка П</t>
        </is>
      </c>
      <c r="H234" s="1" t="inlineStr">
        <is>
          <t>80х100/32</t>
        </is>
      </c>
      <c r="I234" s="1" t="n">
        <v>216</v>
      </c>
      <c r="J234" s="1" t="inlineStr">
        <is>
          <t>РИПОЛ Классик</t>
        </is>
      </c>
      <c r="M234" s="1" t="inlineStr">
        <is>
          <t>2026</t>
        </is>
      </c>
      <c r="N234" s="1" t="inlineStr">
        <is>
          <t>О</t>
        </is>
      </c>
      <c r="O234" s="9" t="n">
        <v>20</v>
      </c>
      <c r="P234" s="1">
        <f>ROUNDUP(750*(1-$F$3),2)</f>
        <v/>
      </c>
      <c r="Q234" s="1" t="inlineStr">
        <is>
          <t> </t>
        </is>
      </c>
      <c r="R234" s="1" t="inlineStr">
        <is>
          <t>978-5-386-10653-9</t>
        </is>
      </c>
      <c r="S234" s="1" t="inlineStr">
        <is>
          <t>9785386106539</t>
        </is>
      </c>
      <c r="T234" s="9" t="n">
        <v>10</v>
      </c>
      <c r="U234" s="1">
        <f>ROUNDUP(681.82*(1-$F$3),2)</f>
        <v/>
      </c>
      <c r="V234" s="1" t="n">
        <v>125</v>
      </c>
      <c r="Y234" s="1" t="inlineStr">
        <is>
          <t>Жизнь есть сон</t>
        </is>
      </c>
      <c r="Z234" s="1" t="inlineStr">
        <is>
          <t>16+</t>
        </is>
      </c>
      <c r="AA234" s="12" t="n">
        <v>43186</v>
      </c>
      <c r="AB234" s="1" t="inlineStr">
        <is>
          <t>Художественная литература</t>
        </is>
      </c>
      <c r="AC234" s="1" t="inlineStr">
        <is>
          <t>Драматургия</t>
        </is>
      </c>
      <c r="AD234" s="1" t="inlineStr">
        <is>
          <t>Зарубежная драматургия</t>
        </is>
      </c>
      <c r="AE234" s="1" t="inlineStr">
        <is>
          <t>офсетная</t>
        </is>
      </c>
      <c r="AG234" s="1" t="n">
        <v>8558590</v>
      </c>
      <c r="AI234" s="1" t="inlineStr">
        <is>
          <t>4901990000</t>
        </is>
      </c>
    </row>
    <row r="235" customFormat="1" s="1">
      <c r="C235" s="1" t="inlineStr">
        <is>
          <t xml:space="preserve">9709650             </t>
        </is>
      </c>
      <c r="D235" s="1" t="inlineStr">
        <is>
          <t>Librarium</t>
        </is>
      </c>
      <c r="E235" s="1" t="inlineStr">
        <is>
          <t>Жизнь. Мопассан Г., де</t>
        </is>
      </c>
      <c r="F235" s="13" t="inlineStr">
        <is>
          <t>См.обл.</t>
        </is>
      </c>
      <c r="G235" s="1" t="inlineStr">
        <is>
          <t>Мопассан Г., де</t>
        </is>
      </c>
      <c r="H235" s="1" t="inlineStr">
        <is>
          <t>80х100/32</t>
        </is>
      </c>
      <c r="I235" s="1" t="n">
        <v>376</v>
      </c>
      <c r="J235" s="1" t="inlineStr">
        <is>
          <t>РИПОЛ Классик</t>
        </is>
      </c>
      <c r="M235" s="1" t="inlineStr">
        <is>
          <t>2026</t>
        </is>
      </c>
      <c r="N235" s="1" t="inlineStr">
        <is>
          <t>О</t>
        </is>
      </c>
      <c r="O235" s="9" t="n">
        <v>10</v>
      </c>
      <c r="P235" s="1">
        <f>ROUNDUP(750*(1-$F$3),2)</f>
        <v/>
      </c>
      <c r="Q235" s="1" t="inlineStr">
        <is>
          <t> </t>
        </is>
      </c>
      <c r="R235" s="1" t="inlineStr">
        <is>
          <t>978-5-386-14062-5</t>
        </is>
      </c>
      <c r="S235" s="1" t="inlineStr">
        <is>
          <t>9785386140625</t>
        </is>
      </c>
      <c r="T235" s="9" t="n">
        <v>10</v>
      </c>
      <c r="U235" s="1">
        <f>ROUNDUP(681.82*(1-$F$3),2)</f>
        <v/>
      </c>
      <c r="V235" s="1" t="n">
        <v>249</v>
      </c>
      <c r="Y235" s="1" t="inlineStr">
        <is>
          <t>Жизнь</t>
        </is>
      </c>
      <c r="Z235" s="1" t="inlineStr">
        <is>
          <t>16+</t>
        </is>
      </c>
      <c r="AA235" s="12" t="n">
        <v>44316</v>
      </c>
      <c r="AB235" s="1" t="inlineStr">
        <is>
          <t>Художественная литература</t>
        </is>
      </c>
      <c r="AC235" s="1" t="inlineStr">
        <is>
          <t>Зарубежная литература</t>
        </is>
      </c>
      <c r="AD235" s="1" t="inlineStr">
        <is>
          <t>Европейская литература</t>
        </is>
      </c>
      <c r="AE235" s="1" t="inlineStr">
        <is>
          <t>офсетная</t>
        </is>
      </c>
      <c r="AG235" s="1" t="n">
        <v>9709650</v>
      </c>
      <c r="AI235" s="1" t="inlineStr">
        <is>
          <t>4901990000</t>
        </is>
      </c>
    </row>
    <row r="236" customFormat="1" s="1">
      <c r="C236" s="1" t="inlineStr">
        <is>
          <t xml:space="preserve">9733250             </t>
        </is>
      </c>
      <c r="D236" s="1" t="inlineStr">
        <is>
          <t>Librarium</t>
        </is>
      </c>
      <c r="E236" s="1" t="inlineStr">
        <is>
          <t>Записки актера Щепкина. Щепкин М.С.</t>
        </is>
      </c>
      <c r="F236" s="13" t="inlineStr">
        <is>
          <t>См.обл.</t>
        </is>
      </c>
      <c r="G236" s="1" t="inlineStr">
        <is>
          <t>Щепкин М.С.</t>
        </is>
      </c>
      <c r="H236" s="1" t="inlineStr">
        <is>
          <t>80х100/32</t>
        </is>
      </c>
      <c r="I236" s="1" t="n">
        <v>186</v>
      </c>
      <c r="J236" s="1" t="inlineStr">
        <is>
          <t>РИПОЛ Классик</t>
        </is>
      </c>
      <c r="M236" s="1" t="inlineStr">
        <is>
          <t>2026</t>
        </is>
      </c>
      <c r="N236" s="1" t="inlineStr">
        <is>
          <t>О</t>
        </is>
      </c>
      <c r="O236" s="9" t="n">
        <v>20</v>
      </c>
      <c r="P236" s="1">
        <f>ROUNDUP(750*(1-$F$3),2)</f>
        <v/>
      </c>
      <c r="Q236" s="1" t="inlineStr">
        <is>
          <t> </t>
        </is>
      </c>
      <c r="R236" s="1" t="inlineStr">
        <is>
          <t>978-5-386-14361-9</t>
        </is>
      </c>
      <c r="S236" s="1" t="inlineStr">
        <is>
          <t>9785386143619</t>
        </is>
      </c>
      <c r="T236" s="9" t="n">
        <v>10</v>
      </c>
      <c r="U236" s="1">
        <f>ROUNDUP(681.82*(1-$F$3),2)</f>
        <v/>
      </c>
      <c r="V236" s="1" t="n">
        <v>169</v>
      </c>
      <c r="Y236" s="1" t="inlineStr">
        <is>
          <t>Записки актера Щепкина</t>
        </is>
      </c>
      <c r="Z236" s="1" t="inlineStr">
        <is>
          <t>12+</t>
        </is>
      </c>
      <c r="AA236" s="12" t="n">
        <v>44473</v>
      </c>
      <c r="AB236" s="1" t="inlineStr">
        <is>
          <t>Искусство</t>
        </is>
      </c>
      <c r="AC236" s="1" t="inlineStr">
        <is>
          <t>Музыка и зрелищные искусства</t>
        </is>
      </c>
      <c r="AD236" s="1" t="inlineStr">
        <is>
          <t>Театр (драматический, музыкальный, кукольный)</t>
        </is>
      </c>
      <c r="AE236" s="1" t="inlineStr">
        <is>
          <t>офсетная</t>
        </is>
      </c>
      <c r="AG236" s="1" t="n">
        <v>9733250</v>
      </c>
      <c r="AI236" s="1" t="inlineStr">
        <is>
          <t>4901990000</t>
        </is>
      </c>
    </row>
    <row r="237" customFormat="1" s="1">
      <c r="C237" s="1" t="inlineStr">
        <is>
          <t xml:space="preserve">9792200             </t>
        </is>
      </c>
      <c r="D237" s="1" t="inlineStr">
        <is>
          <t>Librarium</t>
        </is>
      </c>
      <c r="E237" s="1" t="inlineStr">
        <is>
          <t>Записки вдовца. Верлен П.</t>
        </is>
      </c>
      <c r="F237" s="13" t="inlineStr">
        <is>
          <t>См.обл.</t>
        </is>
      </c>
      <c r="G237" s="1" t="inlineStr">
        <is>
          <t>Верлен П.</t>
        </is>
      </c>
      <c r="H237" s="1" t="inlineStr">
        <is>
          <t>80х100/32</t>
        </is>
      </c>
      <c r="I237" s="1" t="n">
        <v>202</v>
      </c>
      <c r="J237" s="1" t="inlineStr">
        <is>
          <t>РИПОЛ Классик</t>
        </is>
      </c>
      <c r="M237" s="1" t="inlineStr">
        <is>
          <t>2024</t>
        </is>
      </c>
      <c r="N237" s="1" t="inlineStr">
        <is>
          <t>О</t>
        </is>
      </c>
      <c r="O237" s="9" t="n">
        <v>20</v>
      </c>
      <c r="P237" s="1">
        <f>ROUNDUP(779.9*(1-$F$3),2)</f>
        <v/>
      </c>
      <c r="Q237" s="1" t="inlineStr">
        <is>
          <t> </t>
        </is>
      </c>
      <c r="R237" s="1" t="inlineStr">
        <is>
          <t>978-5-386-14373-2</t>
        </is>
      </c>
      <c r="S237" s="1" t="inlineStr">
        <is>
          <t>9785386143732</t>
        </is>
      </c>
      <c r="T237" s="9" t="n">
        <v>10</v>
      </c>
      <c r="U237" s="1">
        <f>ROUNDUP(709*(1-$F$3),2)</f>
        <v/>
      </c>
      <c r="V237" s="1" t="n">
        <v>181</v>
      </c>
      <c r="Y237" s="1" t="inlineStr">
        <is>
          <t>Записки вдовца</t>
        </is>
      </c>
      <c r="Z237" s="1" t="inlineStr">
        <is>
          <t>16+</t>
        </is>
      </c>
      <c r="AA237" s="12" t="n">
        <v>44418</v>
      </c>
      <c r="AB237" s="1" t="inlineStr">
        <is>
          <t>Художественная литература</t>
        </is>
      </c>
      <c r="AC237" s="1" t="inlineStr">
        <is>
          <t>Зарубежная литература</t>
        </is>
      </c>
      <c r="AD237" s="1" t="inlineStr">
        <is>
          <t>Европейская литература</t>
        </is>
      </c>
      <c r="AE237" s="1" t="inlineStr">
        <is>
          <t>офсетная</t>
        </is>
      </c>
      <c r="AG237" s="1" t="n">
        <v>9792200</v>
      </c>
      <c r="AI237" s="1" t="inlineStr">
        <is>
          <t>4901990000</t>
        </is>
      </c>
    </row>
    <row r="238" customFormat="1" s="1">
      <c r="C238" s="1" t="inlineStr">
        <is>
          <t xml:space="preserve">9680460             </t>
        </is>
      </c>
      <c r="D238" s="1" t="inlineStr">
        <is>
          <t>Librarium</t>
        </is>
      </c>
      <c r="E238" s="1" t="inlineStr">
        <is>
          <t>Записки Мальте Лауридса Бригге. Рильке Р.М.</t>
        </is>
      </c>
      <c r="F238" s="13" t="inlineStr">
        <is>
          <t>См.обл.</t>
        </is>
      </c>
      <c r="G238" s="1" t="inlineStr">
        <is>
          <t>Рильке Р.М.</t>
        </is>
      </c>
      <c r="H238" s="1" t="inlineStr">
        <is>
          <t>80х100/32</t>
        </is>
      </c>
      <c r="I238" s="1" t="n">
        <v>264</v>
      </c>
      <c r="J238" s="1" t="inlineStr">
        <is>
          <t>РИПОЛ Классик</t>
        </is>
      </c>
      <c r="M238" s="1" t="inlineStr">
        <is>
          <t>2026</t>
        </is>
      </c>
      <c r="N238" s="1" t="inlineStr">
        <is>
          <t>О</t>
        </is>
      </c>
      <c r="O238" s="9" t="n">
        <v>16</v>
      </c>
      <c r="P238" s="1">
        <f>ROUNDUP(750*(1-$F$3),2)</f>
        <v/>
      </c>
      <c r="Q238" s="1" t="inlineStr">
        <is>
          <t> </t>
        </is>
      </c>
      <c r="R238" s="1" t="inlineStr">
        <is>
          <t>978-5-386-14192-9</t>
        </is>
      </c>
      <c r="S238" s="1" t="inlineStr">
        <is>
          <t>9785386141929</t>
        </is>
      </c>
      <c r="T238" s="9" t="n">
        <v>10</v>
      </c>
      <c r="U238" s="1">
        <f>ROUNDUP(681.82*(1-$F$3),2)</f>
        <v/>
      </c>
      <c r="V238" s="1" t="n">
        <v>179</v>
      </c>
      <c r="Y238" s="1" t="inlineStr">
        <is>
          <t>Записки Мальте Лауридса Бригге</t>
        </is>
      </c>
      <c r="Z238" s="1" t="inlineStr">
        <is>
          <t>16+</t>
        </is>
      </c>
      <c r="AA238" s="12" t="n">
        <v>44354</v>
      </c>
      <c r="AB238" s="1" t="inlineStr">
        <is>
          <t>Художественная литература</t>
        </is>
      </c>
      <c r="AC238" s="1" t="inlineStr">
        <is>
          <t>Зарубежная литература</t>
        </is>
      </c>
      <c r="AD238" s="1" t="inlineStr">
        <is>
          <t>Европейская литература</t>
        </is>
      </c>
      <c r="AE238" s="1" t="inlineStr">
        <is>
          <t>офсетная</t>
        </is>
      </c>
      <c r="AG238" s="1" t="n">
        <v>9680460</v>
      </c>
      <c r="AI238" s="1" t="inlineStr">
        <is>
          <t>4901990000</t>
        </is>
      </c>
    </row>
    <row r="239" customFormat="1" s="1">
      <c r="C239" s="1" t="inlineStr">
        <is>
          <t xml:space="preserve">9989540             </t>
        </is>
      </c>
      <c r="D239" s="1" t="inlineStr">
        <is>
          <t>Librarium</t>
        </is>
      </c>
      <c r="E239" s="1" t="inlineStr">
        <is>
          <t>Звонарь. Роденбах Ж.</t>
        </is>
      </c>
      <c r="F239" s="13" t="inlineStr">
        <is>
          <t>См.обл.</t>
        </is>
      </c>
      <c r="G239" s="1" t="inlineStr">
        <is>
          <t>Роденбах Ж.</t>
        </is>
      </c>
      <c r="H239" s="1" t="inlineStr">
        <is>
          <t>80х100/32</t>
        </is>
      </c>
      <c r="I239" s="1" t="n">
        <v>312</v>
      </c>
      <c r="J239" s="1" t="inlineStr">
        <is>
          <t>РИПОЛ Классик</t>
        </is>
      </c>
      <c r="M239" s="1" t="inlineStr">
        <is>
          <t>2022</t>
        </is>
      </c>
      <c r="N239" s="1" t="inlineStr">
        <is>
          <t>О</t>
        </is>
      </c>
      <c r="O239" s="9" t="n">
        <v>18</v>
      </c>
      <c r="P239" s="1">
        <f>ROUNDUP(750*(1-$F$3),2)</f>
        <v/>
      </c>
      <c r="Q239" s="1" t="inlineStr">
        <is>
          <t> </t>
        </is>
      </c>
      <c r="R239" s="1" t="inlineStr">
        <is>
          <t>978-5-386-14576-7</t>
        </is>
      </c>
      <c r="S239" s="1" t="inlineStr">
        <is>
          <t>9785386145767</t>
        </is>
      </c>
      <c r="T239" s="9" t="n">
        <v>10</v>
      </c>
      <c r="U239" s="1">
        <f>ROUNDUP(681.82*(1-$F$3),2)</f>
        <v/>
      </c>
      <c r="V239" s="1" t="n">
        <v>226</v>
      </c>
      <c r="Y239" s="1" t="inlineStr">
        <is>
          <t>Звонарь</t>
        </is>
      </c>
      <c r="Z239" s="1" t="inlineStr">
        <is>
          <t>16+</t>
        </is>
      </c>
      <c r="AA239" s="12" t="n">
        <v>44676</v>
      </c>
      <c r="AB239" s="1" t="inlineStr">
        <is>
          <t>Художественная литература</t>
        </is>
      </c>
      <c r="AC239" s="1" t="inlineStr">
        <is>
          <t>Зарубежная литература</t>
        </is>
      </c>
      <c r="AD239" s="1" t="inlineStr">
        <is>
          <t>Европейская литература</t>
        </is>
      </c>
      <c r="AE239" s="1" t="inlineStr">
        <is>
          <t>офсетная</t>
        </is>
      </c>
      <c r="AG239" s="1" t="n">
        <v>9989540</v>
      </c>
      <c r="AI239" s="1" t="inlineStr">
        <is>
          <t>4901990000</t>
        </is>
      </c>
    </row>
    <row r="240" customFormat="1" s="1">
      <c r="C240" s="1" t="inlineStr">
        <is>
          <t xml:space="preserve">9624510             </t>
        </is>
      </c>
      <c r="D240" s="1" t="inlineStr">
        <is>
          <t>Librarium</t>
        </is>
      </c>
      <c r="E240" s="1" t="inlineStr">
        <is>
          <t>Золотой теленок. Ильф И.А., Петров Е.П</t>
        </is>
      </c>
      <c r="F240" s="13" t="inlineStr">
        <is>
          <t>См.обл.</t>
        </is>
      </c>
      <c r="G240" s="1" t="inlineStr">
        <is>
          <t>Ильф И.А., Петров Е.П</t>
        </is>
      </c>
      <c r="H240" s="1" t="inlineStr">
        <is>
          <t>80х100/32</t>
        </is>
      </c>
      <c r="I240" s="1" t="n">
        <v>394</v>
      </c>
      <c r="J240" s="1" t="inlineStr">
        <is>
          <t>РИПОЛ Классик</t>
        </is>
      </c>
      <c r="M240" s="1" t="inlineStr">
        <is>
          <t>2026</t>
        </is>
      </c>
      <c r="N240" s="1" t="inlineStr">
        <is>
          <t>О</t>
        </is>
      </c>
      <c r="O240" s="9" t="n">
        <v>10</v>
      </c>
      <c r="P240" s="1">
        <f>ROUNDUP(750*(1-$F$3),2)</f>
        <v/>
      </c>
      <c r="Q240" s="1" t="inlineStr">
        <is>
          <t> </t>
        </is>
      </c>
      <c r="R240" s="1" t="inlineStr">
        <is>
          <t>978-5-386-13951-3</t>
        </is>
      </c>
      <c r="S240" s="1" t="inlineStr">
        <is>
          <t>9785386139513</t>
        </is>
      </c>
      <c r="T240" s="9" t="n">
        <v>10</v>
      </c>
      <c r="U240" s="1">
        <f>ROUNDUP(681.82*(1-$F$3),2)</f>
        <v/>
      </c>
      <c r="V240" s="1" t="n">
        <v>289</v>
      </c>
      <c r="Y240" s="1" t="inlineStr">
        <is>
          <t>Золотой теленок</t>
        </is>
      </c>
      <c r="Z240" s="1" t="inlineStr">
        <is>
          <t>12+</t>
        </is>
      </c>
      <c r="AA240" s="12" t="n">
        <v>44293</v>
      </c>
      <c r="AB240" s="1" t="inlineStr">
        <is>
          <t>Художественная литература</t>
        </is>
      </c>
      <c r="AC240" s="1" t="inlineStr">
        <is>
          <t>Русская литература</t>
        </is>
      </c>
      <c r="AD240" s="1" t="inlineStr">
        <is>
          <t>Русская литература советского периода (1917-1991 гг.)</t>
        </is>
      </c>
      <c r="AE240" s="1" t="inlineStr">
        <is>
          <t>офсетная</t>
        </is>
      </c>
      <c r="AG240" s="1" t="n">
        <v>9624510</v>
      </c>
      <c r="AI240" s="1" t="inlineStr">
        <is>
          <t>4901990000</t>
        </is>
      </c>
    </row>
    <row r="241" customFormat="1" s="1">
      <c r="C241" s="1" t="inlineStr">
        <is>
          <t xml:space="preserve">10160480            </t>
        </is>
      </c>
      <c r="D241" s="1" t="inlineStr">
        <is>
          <t>Librarium</t>
        </is>
      </c>
      <c r="E241" s="1" t="inlineStr">
        <is>
          <t>Зори. Верхарн Э.</t>
        </is>
      </c>
      <c r="F241" s="13" t="inlineStr">
        <is>
          <t>См.обл.</t>
        </is>
      </c>
      <c r="G241" s="1" t="inlineStr">
        <is>
          <t>Верхарн Э.</t>
        </is>
      </c>
      <c r="H241" s="1" t="inlineStr">
        <is>
          <t>80х100/32</t>
        </is>
      </c>
      <c r="I241" s="1" t="n">
        <v>172</v>
      </c>
      <c r="J241" s="1" t="inlineStr">
        <is>
          <t>РИПОЛ Классик</t>
        </is>
      </c>
      <c r="M241" s="1" t="inlineStr">
        <is>
          <t>2022</t>
        </is>
      </c>
      <c r="N241" s="1" t="inlineStr">
        <is>
          <t>О</t>
        </is>
      </c>
      <c r="O241" s="9" t="n">
        <v>22</v>
      </c>
      <c r="P241" s="1">
        <f>ROUNDUP(750*(1-$F$3),2)</f>
        <v/>
      </c>
      <c r="Q241" s="1" t="inlineStr">
        <is>
          <t> </t>
        </is>
      </c>
      <c r="R241" s="1" t="inlineStr">
        <is>
          <t>978-5-386-14624-5</t>
        </is>
      </c>
      <c r="S241" s="1" t="inlineStr">
        <is>
          <t>9785386146245</t>
        </is>
      </c>
      <c r="T241" s="9" t="n">
        <v>10</v>
      </c>
      <c r="U241" s="1">
        <f>ROUNDUP(681.82*(1-$F$3),2)</f>
        <v/>
      </c>
      <c r="V241" s="1" t="n">
        <v>132</v>
      </c>
      <c r="Y241" s="1" t="inlineStr">
        <is>
          <t>Зори</t>
        </is>
      </c>
      <c r="Z241" s="1" t="inlineStr">
        <is>
          <t>16+</t>
        </is>
      </c>
      <c r="AA241" s="12" t="n">
        <v>44592</v>
      </c>
      <c r="AB241" s="1" t="inlineStr">
        <is>
          <t>Художественная литература</t>
        </is>
      </c>
      <c r="AC241" s="1" t="inlineStr">
        <is>
          <t>Драматургия</t>
        </is>
      </c>
      <c r="AD241" s="1" t="inlineStr">
        <is>
          <t>Зарубежная драматургия</t>
        </is>
      </c>
      <c r="AE241" s="1" t="inlineStr">
        <is>
          <t>офсетная</t>
        </is>
      </c>
      <c r="AG241" s="1" t="n">
        <v>10160480</v>
      </c>
      <c r="AI241" s="1" t="inlineStr">
        <is>
          <t>4901990000</t>
        </is>
      </c>
    </row>
    <row r="242" customFormat="1" s="1">
      <c r="C242" s="1" t="inlineStr">
        <is>
          <t xml:space="preserve">9681490             </t>
        </is>
      </c>
      <c r="D242" s="1" t="inlineStr">
        <is>
          <t>Librarium</t>
        </is>
      </c>
      <c r="E242" s="1" t="inlineStr">
        <is>
          <t>Игрок. Достоевский Ф.М.</t>
        </is>
      </c>
      <c r="F242" s="13" t="inlineStr">
        <is>
          <t>См.обл.</t>
        </is>
      </c>
      <c r="G242" s="1" t="inlineStr">
        <is>
          <t>Достоевский Ф.М.</t>
        </is>
      </c>
      <c r="H242" s="1" t="inlineStr">
        <is>
          <t>80х100/32</t>
        </is>
      </c>
      <c r="I242" s="1" t="n">
        <v>268</v>
      </c>
      <c r="J242" s="1" t="inlineStr">
        <is>
          <t>РИПОЛ Классик</t>
        </is>
      </c>
      <c r="M242" s="1" t="inlineStr">
        <is>
          <t>2026</t>
        </is>
      </c>
      <c r="N242" s="1" t="inlineStr">
        <is>
          <t>О</t>
        </is>
      </c>
      <c r="O242" s="9" t="n">
        <v>16</v>
      </c>
      <c r="P242" s="1">
        <f>ROUNDUP(750*(1-$F$3),2)</f>
        <v/>
      </c>
      <c r="Q242" s="1" t="inlineStr">
        <is>
          <t> </t>
        </is>
      </c>
      <c r="R242" s="1" t="inlineStr">
        <is>
          <t>978-5-386-14230-8</t>
        </is>
      </c>
      <c r="S242" s="1" t="inlineStr">
        <is>
          <t>9785386142308</t>
        </is>
      </c>
      <c r="T242" s="9" t="n">
        <v>10</v>
      </c>
      <c r="U242" s="1">
        <f>ROUNDUP(681.82*(1-$F$3),2)</f>
        <v/>
      </c>
      <c r="V242" s="1" t="n">
        <v>199</v>
      </c>
      <c r="Y242" s="1" t="inlineStr">
        <is>
          <t>Игрок</t>
        </is>
      </c>
      <c r="Z242" s="1" t="inlineStr">
        <is>
          <t>16+</t>
        </is>
      </c>
      <c r="AA242" s="12" t="n">
        <v>44354</v>
      </c>
      <c r="AB242" s="1" t="inlineStr">
        <is>
          <t>Художественная литература</t>
        </is>
      </c>
      <c r="AC242" s="1" t="inlineStr">
        <is>
          <t>Русская литература</t>
        </is>
      </c>
      <c r="AD242" s="1" t="inlineStr">
        <is>
          <t>Русская литература XVIII-нач. XX вв. (до 1917 г.)</t>
        </is>
      </c>
      <c r="AE242" s="1" t="inlineStr">
        <is>
          <t>офсетная</t>
        </is>
      </c>
      <c r="AG242" s="1" t="n">
        <v>9681490</v>
      </c>
      <c r="AI242" s="1" t="inlineStr">
        <is>
          <t>4901990000</t>
        </is>
      </c>
    </row>
    <row r="243" customFormat="1" s="1">
      <c r="C243" s="1" t="inlineStr">
        <is>
          <t xml:space="preserve">10134210            </t>
        </is>
      </c>
      <c r="D243" s="1" t="inlineStr">
        <is>
          <t>Librarium</t>
        </is>
      </c>
      <c r="E243" s="1" t="inlineStr">
        <is>
          <t>Избранные стихотворения. Верхарн Э.</t>
        </is>
      </c>
      <c r="F243" s="13" t="inlineStr">
        <is>
          <t>См.обл.</t>
        </is>
      </c>
      <c r="G243" s="1" t="inlineStr">
        <is>
          <t>Верхарн Э.</t>
        </is>
      </c>
      <c r="H243" s="1" t="inlineStr">
        <is>
          <t>80х100/32</t>
        </is>
      </c>
      <c r="I243" s="1" t="n">
        <v>178</v>
      </c>
      <c r="J243" s="1" t="inlineStr">
        <is>
          <t>РИПОЛ Классик</t>
        </is>
      </c>
      <c r="M243" s="1" t="inlineStr">
        <is>
          <t>2022</t>
        </is>
      </c>
      <c r="N243" s="1" t="inlineStr">
        <is>
          <t>О</t>
        </is>
      </c>
      <c r="O243" s="9" t="n">
        <v>22</v>
      </c>
      <c r="P243" s="1">
        <f>ROUNDUP(750*(1-$F$3),2)</f>
        <v/>
      </c>
      <c r="Q243" s="1" t="inlineStr">
        <is>
          <t> </t>
        </is>
      </c>
      <c r="R243" s="1" t="inlineStr">
        <is>
          <t>978-5-386-14612-2</t>
        </is>
      </c>
      <c r="S243" s="1" t="inlineStr">
        <is>
          <t>9785386146122</t>
        </is>
      </c>
      <c r="T243" s="9" t="n">
        <v>10</v>
      </c>
      <c r="U243" s="1">
        <f>ROUNDUP(681.82*(1-$F$3),2)</f>
        <v/>
      </c>
      <c r="V243" s="1" t="n">
        <v>136</v>
      </c>
      <c r="Y243" s="1" t="inlineStr">
        <is>
          <t>Избранные стихотворения</t>
        </is>
      </c>
      <c r="Z243" s="1" t="inlineStr">
        <is>
          <t>16+</t>
        </is>
      </c>
      <c r="AA243" s="12" t="n">
        <v>44593</v>
      </c>
      <c r="AB243" s="1" t="inlineStr">
        <is>
          <t>Художественная литература</t>
        </is>
      </c>
      <c r="AC243" s="1" t="inlineStr">
        <is>
          <t>Поэзия</t>
        </is>
      </c>
      <c r="AD243" s="1" t="inlineStr">
        <is>
          <t>Зарубежная поэзия</t>
        </is>
      </c>
      <c r="AE243" s="1" t="inlineStr">
        <is>
          <t>офсетная</t>
        </is>
      </c>
      <c r="AG243" s="1" t="n">
        <v>10134210</v>
      </c>
      <c r="AI243" s="1" t="inlineStr">
        <is>
          <t>4901990000</t>
        </is>
      </c>
    </row>
    <row r="244" customFormat="1" s="1">
      <c r="C244" s="1" t="inlineStr">
        <is>
          <t xml:space="preserve">10017160            </t>
        </is>
      </c>
      <c r="D244" s="1" t="inlineStr">
        <is>
          <t>Librarium</t>
        </is>
      </c>
      <c r="E244" s="1" t="inlineStr">
        <is>
          <t>Искания рая. Бодлер Ш.</t>
        </is>
      </c>
      <c r="F244" s="13" t="inlineStr">
        <is>
          <t>См.обл.</t>
        </is>
      </c>
      <c r="G244" s="1" t="inlineStr">
        <is>
          <t>Бодлер Ш.</t>
        </is>
      </c>
      <c r="H244" s="1" t="inlineStr">
        <is>
          <t>80х100/32</t>
        </is>
      </c>
      <c r="I244" s="1" t="n">
        <v>216</v>
      </c>
      <c r="J244" s="1" t="inlineStr">
        <is>
          <t>РИПОЛ Классик</t>
        </is>
      </c>
      <c r="M244" s="1" t="inlineStr">
        <is>
          <t>2026</t>
        </is>
      </c>
      <c r="N244" s="1" t="inlineStr">
        <is>
          <t>О</t>
        </is>
      </c>
      <c r="O244" s="9" t="n">
        <v>10</v>
      </c>
      <c r="P244" s="1">
        <f>ROUNDUP(750*(1-$F$3),2)</f>
        <v/>
      </c>
      <c r="Q244" s="1" t="inlineStr">
        <is>
          <t> </t>
        </is>
      </c>
      <c r="R244" s="1" t="inlineStr">
        <is>
          <t>978-5-386-14603-0</t>
        </is>
      </c>
      <c r="S244" s="1" t="inlineStr">
        <is>
          <t>9785386146030</t>
        </is>
      </c>
      <c r="T244" s="9" t="n">
        <v>22</v>
      </c>
      <c r="U244" s="1">
        <f>ROUNDUP(614.75*(1-$F$3),2)</f>
        <v/>
      </c>
      <c r="V244" s="1" t="n">
        <v>149</v>
      </c>
      <c r="Y244" s="1" t="inlineStr">
        <is>
          <t>Искания рая</t>
        </is>
      </c>
      <c r="Z244" s="1" t="inlineStr">
        <is>
          <t>18+</t>
        </is>
      </c>
      <c r="AA244" s="12" t="n">
        <v>44593</v>
      </c>
      <c r="AB244" s="1" t="inlineStr">
        <is>
          <t>Художественная литература</t>
        </is>
      </c>
      <c r="AC244" s="1" t="inlineStr">
        <is>
          <t>Зарубежная литература</t>
        </is>
      </c>
      <c r="AD244" s="1" t="inlineStr">
        <is>
          <t>Европейская литература</t>
        </is>
      </c>
      <c r="AE244" s="1" t="inlineStr">
        <is>
          <t>офсетная</t>
        </is>
      </c>
      <c r="AG244" s="1" t="n">
        <v>10017160</v>
      </c>
      <c r="AI244" s="1" t="inlineStr">
        <is>
          <t>4901990000</t>
        </is>
      </c>
    </row>
    <row r="245" customFormat="1" s="1">
      <c r="C245" s="1" t="inlineStr">
        <is>
          <t xml:space="preserve">9794700             </t>
        </is>
      </c>
      <c r="D245" s="1" t="inlineStr">
        <is>
          <t>Librarium</t>
        </is>
      </c>
      <c r="E245" s="1" t="inlineStr">
        <is>
          <t>Исповедь глупца. Стриндберг А.Ю.</t>
        </is>
      </c>
      <c r="F245" s="13" t="inlineStr">
        <is>
          <t>См.обл.</t>
        </is>
      </c>
      <c r="G245" s="1" t="inlineStr">
        <is>
          <t>Стриндберг А.Ю.</t>
        </is>
      </c>
      <c r="H245" s="1" t="inlineStr">
        <is>
          <t>80х100/32</t>
        </is>
      </c>
      <c r="I245" s="1" t="n">
        <v>388</v>
      </c>
      <c r="J245" s="1" t="inlineStr">
        <is>
          <t>РИПОЛ Классик</t>
        </is>
      </c>
      <c r="M245" s="1" t="inlineStr">
        <is>
          <t>2026</t>
        </is>
      </c>
      <c r="N245" s="1" t="inlineStr">
        <is>
          <t>О</t>
        </is>
      </c>
      <c r="O245" s="9" t="n">
        <v>10</v>
      </c>
      <c r="P245" s="1">
        <f>ROUNDUP(989.2*(1-$F$3),2)</f>
        <v/>
      </c>
      <c r="Q245" s="1" t="inlineStr">
        <is>
          <t> </t>
        </is>
      </c>
      <c r="R245" s="1" t="inlineStr">
        <is>
          <t>978-5-386-14447-0</t>
        </is>
      </c>
      <c r="S245" s="1" t="inlineStr">
        <is>
          <t>9785386144470</t>
        </is>
      </c>
      <c r="T245" s="9" t="n">
        <v>10</v>
      </c>
      <c r="U245" s="1">
        <f>ROUNDUP(899.27*(1-$F$3),2)</f>
        <v/>
      </c>
      <c r="V245" s="1" t="n">
        <v>285</v>
      </c>
      <c r="Y245" s="1" t="inlineStr">
        <is>
          <t>Исповедь глупца</t>
        </is>
      </c>
      <c r="Z245" s="1" t="inlineStr">
        <is>
          <t>16+</t>
        </is>
      </c>
      <c r="AA245" s="12" t="n">
        <v>44473</v>
      </c>
      <c r="AB245" s="1" t="inlineStr">
        <is>
          <t>Художественная литература</t>
        </is>
      </c>
      <c r="AC245" s="1" t="inlineStr">
        <is>
          <t>Зарубежная литература</t>
        </is>
      </c>
      <c r="AD245" s="1" t="inlineStr">
        <is>
          <t>Европейская литература</t>
        </is>
      </c>
      <c r="AE245" s="1" t="inlineStr">
        <is>
          <t>офсетная</t>
        </is>
      </c>
      <c r="AG245" s="1" t="n">
        <v>9794700</v>
      </c>
      <c r="AI245" s="1" t="inlineStr">
        <is>
          <t>4901990000</t>
        </is>
      </c>
    </row>
    <row r="246" customFormat="1" s="1">
      <c r="C246" s="1" t="inlineStr">
        <is>
          <t xml:space="preserve">9696110             </t>
        </is>
      </c>
      <c r="D246" s="1" t="inlineStr">
        <is>
          <t>Librarium</t>
        </is>
      </c>
      <c r="E246" s="1" t="inlineStr">
        <is>
          <t>Исповедь; О жизни. Толстой Л.Н.</t>
        </is>
      </c>
      <c r="F246" s="13" t="inlineStr">
        <is>
          <t>См.обл.</t>
        </is>
      </c>
      <c r="G246" s="1" t="inlineStr">
        <is>
          <t>Толстой Л.Н.</t>
        </is>
      </c>
      <c r="H246" s="1" t="inlineStr">
        <is>
          <t>80х100/32</t>
        </is>
      </c>
      <c r="I246" s="1" t="n">
        <v>346</v>
      </c>
      <c r="J246" s="1" t="inlineStr">
        <is>
          <t>РИПОЛ Классик</t>
        </is>
      </c>
      <c r="M246" s="1" t="inlineStr">
        <is>
          <t>2026</t>
        </is>
      </c>
      <c r="N246" s="1" t="inlineStr">
        <is>
          <t>О</t>
        </is>
      </c>
      <c r="O246" s="9" t="n">
        <v>12</v>
      </c>
      <c r="P246" s="1">
        <f>ROUNDUP(750*(1-$F$3),2)</f>
        <v/>
      </c>
      <c r="Q246" s="1" t="inlineStr">
        <is>
          <t> </t>
        </is>
      </c>
      <c r="R246" s="1" t="inlineStr">
        <is>
          <t>978-5-386-14058-8</t>
        </is>
      </c>
      <c r="S246" s="1" t="inlineStr">
        <is>
          <t>9785386140588</t>
        </is>
      </c>
      <c r="T246" s="9" t="n">
        <v>10</v>
      </c>
      <c r="U246" s="1">
        <f>ROUNDUP(681.82*(1-$F$3),2)</f>
        <v/>
      </c>
      <c r="V246" s="1" t="n">
        <v>256</v>
      </c>
      <c r="Y246" s="1" t="inlineStr">
        <is>
          <t>Исповедь; О жизни</t>
        </is>
      </c>
      <c r="Z246" s="1" t="inlineStr">
        <is>
          <t>12+</t>
        </is>
      </c>
      <c r="AA246" s="12" t="n">
        <v>44300</v>
      </c>
      <c r="AB246" s="1" t="inlineStr">
        <is>
          <t>Художественная литература</t>
        </is>
      </c>
      <c r="AC246" s="1" t="inlineStr">
        <is>
          <t>Русская литература</t>
        </is>
      </c>
      <c r="AD246" s="1" t="inlineStr">
        <is>
          <t>Русская литература XVIII-нач. XX вв. (до 1917 г.)</t>
        </is>
      </c>
      <c r="AE246" s="1" t="inlineStr">
        <is>
          <t>офсетная</t>
        </is>
      </c>
      <c r="AG246" s="1" t="n">
        <v>9696110</v>
      </c>
      <c r="AI246" s="1" t="inlineStr">
        <is>
          <t>4901990000</t>
        </is>
      </c>
    </row>
    <row r="247" customFormat="1" s="1">
      <c r="C247" s="1" t="inlineStr">
        <is>
          <t xml:space="preserve">9691060             </t>
        </is>
      </c>
      <c r="D247" s="1" t="inlineStr">
        <is>
          <t>Librarium</t>
        </is>
      </c>
      <c r="E247" s="1" t="inlineStr">
        <is>
          <t>История одного города. Салтыков-Щедрин М.Е.</t>
        </is>
      </c>
      <c r="F247" s="13" t="inlineStr">
        <is>
          <t>См.обл.</t>
        </is>
      </c>
      <c r="G247" s="1" t="inlineStr">
        <is>
          <t>Салтыков-Щедрин М.Е.</t>
        </is>
      </c>
      <c r="H247" s="1" t="inlineStr">
        <is>
          <t>80х100/32</t>
        </is>
      </c>
      <c r="I247" s="1" t="n">
        <v>344</v>
      </c>
      <c r="J247" s="1" t="inlineStr">
        <is>
          <t>РИПОЛ Классик</t>
        </is>
      </c>
      <c r="M247" s="1" t="inlineStr">
        <is>
          <t>2026</t>
        </is>
      </c>
      <c r="N247" s="1" t="inlineStr">
        <is>
          <t>О</t>
        </is>
      </c>
      <c r="O247" s="9" t="n">
        <v>12</v>
      </c>
      <c r="P247" s="1">
        <f>ROUNDUP(750*(1-$F$3),2)</f>
        <v/>
      </c>
      <c r="Q247" s="1" t="inlineStr">
        <is>
          <t> </t>
        </is>
      </c>
      <c r="R247" s="1" t="inlineStr">
        <is>
          <t>978-5-386-14245-2</t>
        </is>
      </c>
      <c r="S247" s="1" t="inlineStr">
        <is>
          <t>9785386142452</t>
        </is>
      </c>
      <c r="T247" s="9" t="n">
        <v>10</v>
      </c>
      <c r="U247" s="1">
        <f>ROUNDUP(681.82*(1-$F$3),2)</f>
        <v/>
      </c>
      <c r="V247" s="1" t="n">
        <v>257</v>
      </c>
      <c r="Y247" s="1" t="inlineStr">
        <is>
          <t>История одного города</t>
        </is>
      </c>
      <c r="Z247" s="1" t="inlineStr">
        <is>
          <t>12+</t>
        </is>
      </c>
      <c r="AA247" s="12" t="n">
        <v>44363</v>
      </c>
      <c r="AB247" s="1" t="inlineStr">
        <is>
          <t>Художественная литература</t>
        </is>
      </c>
      <c r="AC247" s="1" t="inlineStr">
        <is>
          <t>Русская литература</t>
        </is>
      </c>
      <c r="AD247" s="1" t="inlineStr">
        <is>
          <t>Русская литература XVIII-нач. XX вв. (до 1917 г.)</t>
        </is>
      </c>
      <c r="AE247" s="1" t="inlineStr">
        <is>
          <t>офсетная</t>
        </is>
      </c>
      <c r="AG247" s="1" t="n">
        <v>9691060</v>
      </c>
      <c r="AI247" s="1" t="inlineStr">
        <is>
          <t>4901990000</t>
        </is>
      </c>
    </row>
    <row r="248" customFormat="1" s="1">
      <c r="C248" s="1" t="inlineStr">
        <is>
          <t xml:space="preserve">9698790             </t>
        </is>
      </c>
      <c r="D248" s="1" t="inlineStr">
        <is>
          <t>Librarium</t>
        </is>
      </c>
      <c r="E248" s="1" t="inlineStr">
        <is>
          <t>Как любить ребенка. Корчак Я.</t>
        </is>
      </c>
      <c r="F248" s="13" t="inlineStr">
        <is>
          <t>См.обл.</t>
        </is>
      </c>
      <c r="G248" s="1" t="inlineStr">
        <is>
          <t>Корчак Я.</t>
        </is>
      </c>
      <c r="H248" s="1" t="inlineStr">
        <is>
          <t>80х100/32</t>
        </is>
      </c>
      <c r="I248" s="1" t="n">
        <v>392</v>
      </c>
      <c r="J248" s="1" t="inlineStr">
        <is>
          <t>РИПОЛ Классик</t>
        </is>
      </c>
      <c r="M248" s="1" t="inlineStr">
        <is>
          <t>2026</t>
        </is>
      </c>
      <c r="N248" s="1" t="inlineStr">
        <is>
          <t>О</t>
        </is>
      </c>
      <c r="O248" s="9" t="n">
        <v>10</v>
      </c>
      <c r="P248" s="1">
        <f>ROUNDUP(750*(1-$F$3),2)</f>
        <v/>
      </c>
      <c r="Q248" s="1" t="inlineStr">
        <is>
          <t> </t>
        </is>
      </c>
      <c r="R248" s="1" t="inlineStr">
        <is>
          <t>978-5-386-14250-6</t>
        </is>
      </c>
      <c r="S248" s="1" t="inlineStr">
        <is>
          <t>9785386142506</t>
        </is>
      </c>
      <c r="T248" s="9" t="n">
        <v>10</v>
      </c>
      <c r="U248" s="1">
        <f>ROUNDUP(681.82*(1-$F$3),2)</f>
        <v/>
      </c>
      <c r="V248" s="1" t="n">
        <v>258</v>
      </c>
      <c r="Y248" s="1" t="inlineStr">
        <is>
          <t>Как любить ребенка</t>
        </is>
      </c>
      <c r="Z248" s="1" t="inlineStr">
        <is>
          <t>12+</t>
        </is>
      </c>
      <c r="AA248" s="12" t="n">
        <v>44363</v>
      </c>
      <c r="AB248" s="1" t="inlineStr">
        <is>
          <t>Общественные науки</t>
        </is>
      </c>
      <c r="AC248" s="1" t="inlineStr">
        <is>
          <t>Педагогика</t>
        </is>
      </c>
      <c r="AD248" s="1" t="inlineStr">
        <is>
          <t>Общие вопросы</t>
        </is>
      </c>
      <c r="AE248" s="1" t="inlineStr">
        <is>
          <t>офсетная</t>
        </is>
      </c>
      <c r="AG248" s="1" t="n">
        <v>9698790</v>
      </c>
      <c r="AI248" s="1" t="inlineStr">
        <is>
          <t>4901990000</t>
        </is>
      </c>
    </row>
    <row r="249" customFormat="1" s="1">
      <c r="C249" s="1" t="inlineStr">
        <is>
          <t xml:space="preserve">9965610             </t>
        </is>
      </c>
      <c r="D249" s="1" t="inlineStr">
        <is>
          <t>Librarium</t>
        </is>
      </c>
      <c r="E249" s="1" t="inlineStr">
        <is>
          <t>Киносценарии. Маяковский В.В.</t>
        </is>
      </c>
      <c r="F249" s="13" t="inlineStr">
        <is>
          <t>См.обл.</t>
        </is>
      </c>
      <c r="G249" s="1" t="inlineStr">
        <is>
          <t>Маяковский В.В.</t>
        </is>
      </c>
      <c r="H249" s="1" t="inlineStr">
        <is>
          <t>80х100/32</t>
        </is>
      </c>
      <c r="I249" s="1" t="n">
        <v>264</v>
      </c>
      <c r="J249" s="1" t="inlineStr">
        <is>
          <t>РИПОЛ Классик</t>
        </is>
      </c>
      <c r="M249" s="1" t="inlineStr">
        <is>
          <t>2026</t>
        </is>
      </c>
      <c r="N249" s="1" t="inlineStr">
        <is>
          <t>О</t>
        </is>
      </c>
      <c r="O249" s="9" t="n">
        <v>16</v>
      </c>
      <c r="P249" s="1">
        <f>ROUNDUP(750*(1-$F$3),2)</f>
        <v/>
      </c>
      <c r="Q249" s="1" t="inlineStr">
        <is>
          <t> </t>
        </is>
      </c>
      <c r="R249" s="1" t="inlineStr">
        <is>
          <t>978-5-386-14527-9</t>
        </is>
      </c>
      <c r="S249" s="1" t="inlineStr">
        <is>
          <t>9785386145279</t>
        </is>
      </c>
      <c r="T249" s="9" t="n">
        <v>10</v>
      </c>
      <c r="U249" s="1">
        <f>ROUNDUP(681.82*(1-$F$3),2)</f>
        <v/>
      </c>
      <c r="V249" s="1" t="n">
        <v>179</v>
      </c>
      <c r="Y249" s="1" t="inlineStr">
        <is>
          <t>Киносценарии</t>
        </is>
      </c>
      <c r="Z249" s="1" t="inlineStr">
        <is>
          <t>16+</t>
        </is>
      </c>
      <c r="AA249" s="12" t="n">
        <v>44475</v>
      </c>
      <c r="AB249" s="1" t="inlineStr">
        <is>
          <t>Художественная литература</t>
        </is>
      </c>
      <c r="AC249" s="1" t="inlineStr">
        <is>
          <t>Русская литература</t>
        </is>
      </c>
      <c r="AD249" s="1" t="inlineStr">
        <is>
          <t>Русская литература XVIII-нач. XX вв. (до 1917 г.)</t>
        </is>
      </c>
      <c r="AE249" s="1" t="inlineStr">
        <is>
          <t>офсетная</t>
        </is>
      </c>
      <c r="AG249" s="1" t="n">
        <v>9965610</v>
      </c>
      <c r="AI249" s="1" t="inlineStr">
        <is>
          <t>4901990000</t>
        </is>
      </c>
    </row>
    <row r="250" customFormat="1" s="1">
      <c r="C250" s="1" t="inlineStr">
        <is>
          <t xml:space="preserve">10266380            </t>
        </is>
      </c>
      <c r="D250" s="1" t="inlineStr">
        <is>
          <t>Librarium</t>
        </is>
      </c>
      <c r="E250" s="1" t="inlineStr">
        <is>
          <t>Книга масок. Де Гурмон Р.</t>
        </is>
      </c>
      <c r="F250" s="13" t="inlineStr">
        <is>
          <t>См.обл.</t>
        </is>
      </c>
      <c r="G250" s="1" t="inlineStr">
        <is>
          <t>Де Гурмон Р.</t>
        </is>
      </c>
      <c r="H250" s="1" t="inlineStr">
        <is>
          <t>80х100/32</t>
        </is>
      </c>
      <c r="I250" s="1" t="n">
        <v>346</v>
      </c>
      <c r="J250" s="1" t="inlineStr">
        <is>
          <t>РИПОЛ Классик</t>
        </is>
      </c>
      <c r="M250" s="1" t="inlineStr">
        <is>
          <t>2022</t>
        </is>
      </c>
      <c r="N250" s="1" t="inlineStr">
        <is>
          <t>О</t>
        </is>
      </c>
      <c r="O250" s="9" t="n">
        <v>16</v>
      </c>
      <c r="P250" s="1">
        <f>ROUNDUP(990*(1-$F$3),2)</f>
        <v/>
      </c>
      <c r="Q250" s="1" t="inlineStr">
        <is>
          <t> </t>
        </is>
      </c>
      <c r="R250" s="1" t="inlineStr">
        <is>
          <t>978-5-386-14672-6</t>
        </is>
      </c>
      <c r="S250" s="1" t="inlineStr">
        <is>
          <t>9785386146726</t>
        </is>
      </c>
      <c r="T250" s="9" t="n">
        <v>10</v>
      </c>
      <c r="U250" s="1">
        <f>ROUNDUP(900*(1-$F$3),2)</f>
        <v/>
      </c>
      <c r="V250" s="1" t="n">
        <v>261</v>
      </c>
      <c r="Y250" s="1" t="inlineStr">
        <is>
          <t>Книга масок</t>
        </is>
      </c>
      <c r="Z250" s="1" t="inlineStr">
        <is>
          <t>16+</t>
        </is>
      </c>
      <c r="AA250" s="12" t="n">
        <v>44704</v>
      </c>
      <c r="AB250" s="1" t="inlineStr">
        <is>
          <t>Художественная литература</t>
        </is>
      </c>
      <c r="AC250" s="1" t="inlineStr">
        <is>
          <t>Зарубежная литература</t>
        </is>
      </c>
      <c r="AD250" s="1" t="inlineStr">
        <is>
          <t>Европейская литература</t>
        </is>
      </c>
      <c r="AE250" s="1" t="inlineStr">
        <is>
          <t>офсетная</t>
        </is>
      </c>
      <c r="AG250" s="1" t="n">
        <v>10266380</v>
      </c>
      <c r="AI250" s="1" t="inlineStr">
        <is>
          <t>4901990000</t>
        </is>
      </c>
    </row>
    <row r="251" customFormat="1" s="1">
      <c r="C251" s="1" t="inlineStr">
        <is>
          <t xml:space="preserve">9992840             </t>
        </is>
      </c>
      <c r="D251" s="1" t="inlineStr">
        <is>
          <t>Librarium</t>
        </is>
      </c>
      <c r="E251" s="1" t="inlineStr">
        <is>
          <t>Козлиная песнь. Вагинов К.К.</t>
        </is>
      </c>
      <c r="F251" s="13" t="inlineStr">
        <is>
          <t>См.обл.</t>
        </is>
      </c>
      <c r="G251" s="1" t="inlineStr">
        <is>
          <t>Вагинов К.К.</t>
        </is>
      </c>
      <c r="H251" s="1" t="inlineStr">
        <is>
          <t>80х100/32</t>
        </is>
      </c>
      <c r="I251" s="1" t="n">
        <v>270</v>
      </c>
      <c r="J251" s="1" t="inlineStr">
        <is>
          <t>РИПОЛ Классик</t>
        </is>
      </c>
      <c r="M251" s="1" t="inlineStr">
        <is>
          <t>2026</t>
        </is>
      </c>
      <c r="N251" s="1" t="inlineStr">
        <is>
          <t>О</t>
        </is>
      </c>
      <c r="O251" s="9" t="n">
        <v>16</v>
      </c>
      <c r="P251" s="1">
        <f>ROUNDUP(750*(1-$F$3),2)</f>
        <v/>
      </c>
      <c r="Q251" s="1" t="inlineStr">
        <is>
          <t> </t>
        </is>
      </c>
      <c r="R251" s="1" t="inlineStr">
        <is>
          <t>978-5-386-14577-4</t>
        </is>
      </c>
      <c r="S251" s="1" t="inlineStr">
        <is>
          <t>9785386145774</t>
        </is>
      </c>
      <c r="T251" s="9" t="n">
        <v>10</v>
      </c>
      <c r="U251" s="1">
        <f>ROUNDUP(681.82*(1-$F$3),2)</f>
        <v/>
      </c>
      <c r="V251" s="1" t="n">
        <v>179</v>
      </c>
      <c r="Y251" s="1" t="inlineStr">
        <is>
          <t>Козлиная песнь</t>
        </is>
      </c>
      <c r="Z251" s="1" t="inlineStr">
        <is>
          <t>18+</t>
        </is>
      </c>
      <c r="AA251" s="12" t="n">
        <v>44595</v>
      </c>
      <c r="AB251" s="1" t="inlineStr">
        <is>
          <t>Художественная литература</t>
        </is>
      </c>
      <c r="AC251" s="1" t="inlineStr">
        <is>
          <t>Русская литература</t>
        </is>
      </c>
      <c r="AD251" s="1" t="inlineStr">
        <is>
          <t>Русская литература советского периода (1917-1991 гг.)</t>
        </is>
      </c>
      <c r="AE251" s="1" t="inlineStr">
        <is>
          <t>офсетная</t>
        </is>
      </c>
      <c r="AG251" s="1" t="n">
        <v>9992840</v>
      </c>
      <c r="AI251" s="1" t="inlineStr">
        <is>
          <t>4901990000</t>
        </is>
      </c>
      <c r="AJ251" s="1" t="inlineStr">
        <is>
          <t>Зпв</t>
        </is>
      </c>
    </row>
    <row r="252" customFormat="1" s="1">
      <c r="C252" s="1" t="inlineStr">
        <is>
          <t xml:space="preserve">10763690            </t>
        </is>
      </c>
      <c r="D252" s="1" t="inlineStr">
        <is>
          <t>Librarium</t>
        </is>
      </c>
      <c r="E252" s="1" t="inlineStr">
        <is>
          <t>Кому на Руси жить хорошо. Некрасов Н.А.</t>
        </is>
      </c>
      <c r="F252" s="13" t="inlineStr">
        <is>
          <t>См.обл.</t>
        </is>
      </c>
      <c r="G252" s="1" t="inlineStr">
        <is>
          <t>Некрасов Н.А.</t>
        </is>
      </c>
      <c r="H252" s="1" t="inlineStr">
        <is>
          <t>80х100/32</t>
        </is>
      </c>
      <c r="I252" s="1" t="n">
        <v>368</v>
      </c>
      <c r="J252" s="1" t="inlineStr">
        <is>
          <t>РИПОЛ Классик</t>
        </is>
      </c>
      <c r="M252" s="1" t="inlineStr">
        <is>
          <t>2026</t>
        </is>
      </c>
      <c r="N252" s="1" t="inlineStr">
        <is>
          <t>О</t>
        </is>
      </c>
      <c r="O252" s="9" t="n">
        <v>12</v>
      </c>
      <c r="P252" s="1">
        <f>ROUNDUP(1147.4*(1-$F$3),2)</f>
        <v/>
      </c>
      <c r="Q252" s="1" t="inlineStr">
        <is>
          <t> </t>
        </is>
      </c>
      <c r="R252" s="1" t="inlineStr">
        <is>
          <t>978-5-386-14966-6</t>
        </is>
      </c>
      <c r="S252" s="1" t="inlineStr">
        <is>
          <t>9785386149666</t>
        </is>
      </c>
      <c r="T252" s="9" t="n">
        <v>10</v>
      </c>
      <c r="U252" s="1">
        <f>ROUNDUP(1043.09*(1-$F$3),2)</f>
        <v/>
      </c>
      <c r="V252" s="1" t="n">
        <v>271</v>
      </c>
      <c r="Y252" s="1" t="inlineStr">
        <is>
          <t>Кому на Руси жить хорошо</t>
        </is>
      </c>
      <c r="Z252" s="1" t="inlineStr">
        <is>
          <t>12+</t>
        </is>
      </c>
      <c r="AA252" s="12" t="n">
        <v>44924</v>
      </c>
      <c r="AB252" s="1" t="inlineStr">
        <is>
          <t>Художественная литература</t>
        </is>
      </c>
      <c r="AC252" s="1" t="inlineStr">
        <is>
          <t>Поэзия</t>
        </is>
      </c>
      <c r="AD252" s="1" t="inlineStr">
        <is>
          <t>Русская поэзия</t>
        </is>
      </c>
      <c r="AE252" s="1" t="inlineStr">
        <is>
          <t>офсетная</t>
        </is>
      </c>
      <c r="AG252" s="1" t="n">
        <v>10763690</v>
      </c>
      <c r="AI252" s="1" t="inlineStr">
        <is>
          <t>4901990000</t>
        </is>
      </c>
    </row>
    <row r="253" customFormat="1" s="1">
      <c r="C253" s="1" t="inlineStr">
        <is>
          <t xml:space="preserve">10266330            </t>
        </is>
      </c>
      <c r="D253" s="1" t="inlineStr">
        <is>
          <t>Librarium</t>
        </is>
      </c>
      <c r="E253" s="1" t="inlineStr">
        <is>
          <t>Котик Летаев. Белый А.</t>
        </is>
      </c>
      <c r="F253" s="13" t="inlineStr">
        <is>
          <t>См.обл.</t>
        </is>
      </c>
      <c r="G253" s="1" t="inlineStr">
        <is>
          <t>Белый А.</t>
        </is>
      </c>
      <c r="H253" s="1" t="inlineStr">
        <is>
          <t>80х100/32</t>
        </is>
      </c>
      <c r="I253" s="1" t="n">
        <v>268</v>
      </c>
      <c r="J253" s="1" t="inlineStr">
        <is>
          <t>РИПОЛ Классик</t>
        </is>
      </c>
      <c r="M253" s="1" t="inlineStr">
        <is>
          <t>2026</t>
        </is>
      </c>
      <c r="N253" s="1" t="inlineStr">
        <is>
          <t>О</t>
        </is>
      </c>
      <c r="O253" s="9" t="n">
        <v>10</v>
      </c>
      <c r="P253" s="1">
        <f>ROUNDUP(990*(1-$F$3),2)</f>
        <v/>
      </c>
      <c r="Q253" s="1" t="inlineStr">
        <is>
          <t> </t>
        </is>
      </c>
      <c r="R253" s="1" t="inlineStr">
        <is>
          <t>978-5-386-14677-1</t>
        </is>
      </c>
      <c r="S253" s="1" t="inlineStr">
        <is>
          <t>9785386146771</t>
        </is>
      </c>
      <c r="T253" s="9" t="n">
        <v>10</v>
      </c>
      <c r="U253" s="1">
        <f>ROUNDUP(900*(1-$F$3),2)</f>
        <v/>
      </c>
      <c r="V253" s="1" t="n">
        <v>204</v>
      </c>
      <c r="Y253" s="1" t="inlineStr">
        <is>
          <t>Котик Летаев</t>
        </is>
      </c>
      <c r="Z253" s="1" t="inlineStr">
        <is>
          <t>16+</t>
        </is>
      </c>
      <c r="AA253" s="12" t="n">
        <v>44678</v>
      </c>
      <c r="AB253" s="1" t="inlineStr">
        <is>
          <t>Художественная литература</t>
        </is>
      </c>
      <c r="AC253" s="1" t="inlineStr">
        <is>
          <t>Русская литература</t>
        </is>
      </c>
      <c r="AD253" s="1" t="inlineStr">
        <is>
          <t>Русская литература XVIII-нач. XX вв. (до 1917 г.)</t>
        </is>
      </c>
      <c r="AE253" s="1" t="inlineStr">
        <is>
          <t>офсетная</t>
        </is>
      </c>
      <c r="AG253" s="1" t="n">
        <v>10266330</v>
      </c>
      <c r="AI253" s="1" t="inlineStr">
        <is>
          <t>4901990000</t>
        </is>
      </c>
    </row>
    <row r="254" customFormat="1" s="1">
      <c r="C254" s="1" t="inlineStr">
        <is>
          <t xml:space="preserve">9693220             </t>
        </is>
      </c>
      <c r="D254" s="1" t="inlineStr">
        <is>
          <t>Librarium</t>
        </is>
      </c>
      <c r="E254" s="1" t="inlineStr">
        <is>
          <t>Крейцерова соната. Толстой Л.Н.</t>
        </is>
      </c>
      <c r="F254" s="13" t="inlineStr">
        <is>
          <t>См.обл.</t>
        </is>
      </c>
      <c r="G254" s="1" t="inlineStr">
        <is>
          <t>Толстой Л.Н.</t>
        </is>
      </c>
      <c r="H254" s="1" t="inlineStr">
        <is>
          <t>80х100/32</t>
        </is>
      </c>
      <c r="I254" s="1" t="n">
        <v>296</v>
      </c>
      <c r="J254" s="1" t="inlineStr">
        <is>
          <t>РИПОЛ Классик</t>
        </is>
      </c>
      <c r="M254" s="1" t="inlineStr">
        <is>
          <t>2026</t>
        </is>
      </c>
      <c r="N254" s="1" t="inlineStr">
        <is>
          <t>О</t>
        </is>
      </c>
      <c r="O254" s="9" t="n">
        <v>14</v>
      </c>
      <c r="P254" s="1">
        <f>ROUNDUP(750*(1-$F$3),2)</f>
        <v/>
      </c>
      <c r="Q254" s="1" t="inlineStr">
        <is>
          <t> </t>
        </is>
      </c>
      <c r="R254" s="1" t="inlineStr">
        <is>
          <t>978-5-386-14269-8</t>
        </is>
      </c>
      <c r="S254" s="1" t="inlineStr">
        <is>
          <t>9785386142698</t>
        </is>
      </c>
      <c r="T254" s="9" t="n">
        <v>10</v>
      </c>
      <c r="U254" s="1">
        <f>ROUNDUP(681.82*(1-$F$3),2)</f>
        <v/>
      </c>
      <c r="V254" s="1" t="n">
        <v>224</v>
      </c>
      <c r="Y254" s="1" t="inlineStr">
        <is>
          <t>Крейцерова соната</t>
        </is>
      </c>
      <c r="Z254" s="1" t="inlineStr">
        <is>
          <t>16+</t>
        </is>
      </c>
      <c r="AA254" s="12" t="n">
        <v>44363</v>
      </c>
      <c r="AB254" s="1" t="inlineStr">
        <is>
          <t>Художественная литература</t>
        </is>
      </c>
      <c r="AC254" s="1" t="inlineStr">
        <is>
          <t>Русская литература</t>
        </is>
      </c>
      <c r="AD254" s="1" t="inlineStr">
        <is>
          <t>Русская литература XVIII-нач. XX вв. (до 1917 г.)</t>
        </is>
      </c>
      <c r="AE254" s="1" t="inlineStr">
        <is>
          <t>офсетная</t>
        </is>
      </c>
      <c r="AG254" s="1" t="n">
        <v>9693220</v>
      </c>
      <c r="AI254" s="1" t="inlineStr">
        <is>
          <t>4901990000</t>
        </is>
      </c>
    </row>
    <row r="255" customFormat="1" s="1">
      <c r="C255" s="1" t="inlineStr">
        <is>
          <t xml:space="preserve">9972800             </t>
        </is>
      </c>
      <c r="D255" s="1" t="inlineStr">
        <is>
          <t>Librarium</t>
        </is>
      </c>
      <c r="E255" s="1" t="inlineStr">
        <is>
          <t>Кронштадт и Питер в 1917 году. Раскольников Ф.Ф.</t>
        </is>
      </c>
      <c r="F255" s="13" t="inlineStr">
        <is>
          <t>См.обл.</t>
        </is>
      </c>
      <c r="G255" s="1" t="inlineStr">
        <is>
          <t>Раскольников Ф.Ф.</t>
        </is>
      </c>
      <c r="H255" s="1" t="inlineStr">
        <is>
          <t>80х100/32</t>
        </is>
      </c>
      <c r="I255" s="1" t="n">
        <v>406</v>
      </c>
      <c r="J255" s="1" t="inlineStr">
        <is>
          <t>РИПОЛ Классик</t>
        </is>
      </c>
      <c r="M255" s="1" t="inlineStr">
        <is>
          <t>2022</t>
        </is>
      </c>
      <c r="N255" s="1" t="inlineStr">
        <is>
          <t>О</t>
        </is>
      </c>
      <c r="O255" s="9" t="n">
        <v>10</v>
      </c>
      <c r="P255" s="1">
        <f>ROUNDUP(750*(1-$F$3),2)</f>
        <v/>
      </c>
      <c r="Q255" s="1" t="inlineStr">
        <is>
          <t> </t>
        </is>
      </c>
      <c r="R255" s="1" t="inlineStr">
        <is>
          <t>978-5-386-14560-6</t>
        </is>
      </c>
      <c r="S255" s="1" t="inlineStr">
        <is>
          <t>9785386145606</t>
        </is>
      </c>
      <c r="T255" s="9" t="n">
        <v>10</v>
      </c>
      <c r="U255" s="1">
        <f>ROUNDUP(681.82*(1-$F$3),2)</f>
        <v/>
      </c>
      <c r="V255" s="1" t="n">
        <v>299</v>
      </c>
      <c r="Y255" s="1" t="inlineStr">
        <is>
          <t>Кронштадт и Питер в 1917 году</t>
        </is>
      </c>
      <c r="Z255" s="1" t="inlineStr">
        <is>
          <t>16+</t>
        </is>
      </c>
      <c r="AA255" s="12" t="n">
        <v>44595</v>
      </c>
      <c r="AB255" s="1" t="inlineStr">
        <is>
          <t>Общественные науки</t>
        </is>
      </c>
      <c r="AC255" s="1" t="inlineStr">
        <is>
          <t>Военное дело. Гражданская защита</t>
        </is>
      </c>
      <c r="AD255" s="1" t="inlineStr">
        <is>
          <t>Военная история. История военных операций. Мемуары военачальников</t>
        </is>
      </c>
      <c r="AE255" s="1" t="inlineStr">
        <is>
          <t>офсетная</t>
        </is>
      </c>
      <c r="AG255" s="1" t="n">
        <v>9972800</v>
      </c>
      <c r="AI255" s="1" t="inlineStr">
        <is>
          <t>4901990000</t>
        </is>
      </c>
    </row>
    <row r="256" customFormat="1" s="1">
      <c r="C256" s="1" t="inlineStr">
        <is>
          <t xml:space="preserve">9793040             </t>
        </is>
      </c>
      <c r="D256" s="1" t="inlineStr">
        <is>
          <t>Librarium</t>
        </is>
      </c>
      <c r="E256" s="1" t="inlineStr">
        <is>
          <t>Крылья. Кузмин М.А.</t>
        </is>
      </c>
      <c r="F256" s="13" t="inlineStr">
        <is>
          <t>См.обл.</t>
        </is>
      </c>
      <c r="G256" s="1" t="inlineStr">
        <is>
          <t>Кузмин М.А.</t>
        </is>
      </c>
      <c r="H256" s="1" t="inlineStr">
        <is>
          <t>80х100/32</t>
        </is>
      </c>
      <c r="I256" s="1" t="n">
        <v>280</v>
      </c>
      <c r="J256" s="1" t="inlineStr">
        <is>
          <t>РИПОЛ Классик</t>
        </is>
      </c>
      <c r="M256" s="1" t="inlineStr">
        <is>
          <t>2026</t>
        </is>
      </c>
      <c r="N256" s="1" t="inlineStr">
        <is>
          <t>О</t>
        </is>
      </c>
      <c r="O256" s="9" t="n">
        <v>14</v>
      </c>
      <c r="P256" s="1">
        <f>ROUNDUP(750*(1-$F$3),2)</f>
        <v/>
      </c>
      <c r="Q256" s="1" t="inlineStr">
        <is>
          <t> </t>
        </is>
      </c>
      <c r="R256" s="1" t="inlineStr">
        <is>
          <t>978-5-386-14432-6</t>
        </is>
      </c>
      <c r="S256" s="1" t="inlineStr">
        <is>
          <t>9785386144326</t>
        </is>
      </c>
      <c r="T256" s="9" t="n">
        <v>22</v>
      </c>
      <c r="U256" s="1">
        <f>ROUNDUP(614.75*(1-$F$3),2)</f>
        <v/>
      </c>
      <c r="V256" s="1" t="n">
        <v>157</v>
      </c>
      <c r="Y256" s="1" t="inlineStr">
        <is>
          <t>Крылья</t>
        </is>
      </c>
      <c r="Z256" s="1" t="inlineStr">
        <is>
          <t>18+</t>
        </is>
      </c>
      <c r="AA256" s="12" t="n">
        <v>44473</v>
      </c>
      <c r="AB256" s="1" t="inlineStr">
        <is>
          <t>Художественная литература</t>
        </is>
      </c>
      <c r="AC256" s="1" t="inlineStr">
        <is>
          <t>Русская литература</t>
        </is>
      </c>
      <c r="AD256" s="1" t="inlineStr">
        <is>
          <t>Русская литература XVIII-нач. XX вв. (до 1917 г.)</t>
        </is>
      </c>
      <c r="AE256" s="1" t="inlineStr">
        <is>
          <t>офсетная</t>
        </is>
      </c>
      <c r="AG256" s="1" t="n">
        <v>9793040</v>
      </c>
      <c r="AI256" s="1" t="inlineStr">
        <is>
          <t>4901990000</t>
        </is>
      </c>
    </row>
    <row r="257" customFormat="1" s="1">
      <c r="C257" s="1" t="inlineStr">
        <is>
          <t xml:space="preserve">10011850            </t>
        </is>
      </c>
      <c r="D257" s="1" t="inlineStr">
        <is>
          <t>Librarium</t>
        </is>
      </c>
      <c r="E257" s="1" t="inlineStr">
        <is>
          <t>Кюхля. Тынянов Ю.Н.</t>
        </is>
      </c>
      <c r="F257" s="13" t="inlineStr">
        <is>
          <t>См.обл.</t>
        </is>
      </c>
      <c r="G257" s="1" t="inlineStr">
        <is>
          <t>Тынянов Ю.Н.</t>
        </is>
      </c>
      <c r="H257" s="1" t="inlineStr">
        <is>
          <t>80х100/32</t>
        </is>
      </c>
      <c r="I257" s="1" t="n">
        <v>396</v>
      </c>
      <c r="J257" s="1" t="inlineStr">
        <is>
          <t>РИПОЛ Классик</t>
        </is>
      </c>
      <c r="M257" s="1" t="inlineStr">
        <is>
          <t>2022</t>
        </is>
      </c>
      <c r="N257" s="1" t="inlineStr">
        <is>
          <t>О</t>
        </is>
      </c>
      <c r="O257" s="9" t="n">
        <v>10</v>
      </c>
      <c r="P257" s="1">
        <f>ROUNDUP(750*(1-$F$3),2)</f>
        <v/>
      </c>
      <c r="Q257" s="1" t="inlineStr">
        <is>
          <t> </t>
        </is>
      </c>
      <c r="R257" s="1" t="inlineStr">
        <is>
          <t>978-5-386-14579-8</t>
        </is>
      </c>
      <c r="S257" s="1" t="inlineStr">
        <is>
          <t>9785386145798</t>
        </is>
      </c>
      <c r="T257" s="9" t="n">
        <v>10</v>
      </c>
      <c r="U257" s="1">
        <f>ROUNDUP(681.82*(1-$F$3),2)</f>
        <v/>
      </c>
      <c r="V257" s="1" t="n">
        <v>289</v>
      </c>
      <c r="Y257" s="1" t="inlineStr">
        <is>
          <t>Кюхля</t>
        </is>
      </c>
      <c r="Z257" s="1" t="inlineStr">
        <is>
          <t>12+</t>
        </is>
      </c>
      <c r="AA257" s="12" t="n">
        <v>44592</v>
      </c>
      <c r="AB257" s="1" t="inlineStr">
        <is>
          <t>Художественная литература</t>
        </is>
      </c>
      <c r="AC257" s="1" t="inlineStr">
        <is>
          <t>Историческая проза</t>
        </is>
      </c>
      <c r="AD257" s="1" t="inlineStr">
        <is>
          <t>Русская историческая проза</t>
        </is>
      </c>
      <c r="AE257" s="1" t="inlineStr">
        <is>
          <t>офсетная</t>
        </is>
      </c>
      <c r="AG257" s="1" t="n">
        <v>10011850</v>
      </c>
      <c r="AI257" s="1" t="inlineStr">
        <is>
          <t>4901990000</t>
        </is>
      </c>
    </row>
    <row r="258" customFormat="1" s="1">
      <c r="C258" s="1" t="inlineStr">
        <is>
          <t xml:space="preserve">10162240            </t>
        </is>
      </c>
      <c r="D258" s="1" t="inlineStr">
        <is>
          <t>Librarium</t>
        </is>
      </c>
      <c r="E258" s="1" t="inlineStr">
        <is>
          <t>Леди Макбет Мценского уезда. Воительница. Лесков Н.С</t>
        </is>
      </c>
      <c r="F258" s="13" t="inlineStr">
        <is>
          <t>См.обл.</t>
        </is>
      </c>
      <c r="G258" s="1" t="inlineStr">
        <is>
          <t>Лесков Н.С</t>
        </is>
      </c>
      <c r="H258" s="1" t="inlineStr">
        <is>
          <t>80х100/32</t>
        </is>
      </c>
      <c r="I258" s="1" t="n">
        <v>244</v>
      </c>
      <c r="J258" s="1" t="inlineStr">
        <is>
          <t>РИПОЛ Классик</t>
        </is>
      </c>
      <c r="M258" s="1" t="inlineStr">
        <is>
          <t>2026</t>
        </is>
      </c>
      <c r="N258" s="1" t="inlineStr">
        <is>
          <t>О</t>
        </is>
      </c>
      <c r="O258" s="9" t="n">
        <v>16</v>
      </c>
      <c r="P258" s="1">
        <f>ROUNDUP(750*(1-$F$3),2)</f>
        <v/>
      </c>
      <c r="Q258" s="1" t="inlineStr">
        <is>
          <t> </t>
        </is>
      </c>
      <c r="R258" s="1" t="inlineStr">
        <is>
          <t>978-5-386-14623-8</t>
        </is>
      </c>
      <c r="S258" s="1" t="inlineStr">
        <is>
          <t>9785386146238</t>
        </is>
      </c>
      <c r="T258" s="9" t="n">
        <v>10</v>
      </c>
      <c r="U258" s="1">
        <f>ROUNDUP(681.82*(1-$F$3),2)</f>
        <v/>
      </c>
      <c r="V258" s="1" t="n">
        <v>184</v>
      </c>
      <c r="Y258" s="1" t="inlineStr">
        <is>
          <t>Леди Макбет Мценского уезда. Воительница</t>
        </is>
      </c>
      <c r="Z258" s="1" t="inlineStr">
        <is>
          <t>12+</t>
        </is>
      </c>
      <c r="AA258" s="12" t="n">
        <v>44592</v>
      </c>
      <c r="AB258" s="1" t="inlineStr">
        <is>
          <t>Художественная литература</t>
        </is>
      </c>
      <c r="AC258" s="1" t="inlineStr">
        <is>
          <t>Русская литература</t>
        </is>
      </c>
      <c r="AD258" s="1" t="inlineStr">
        <is>
          <t>Русская литература XVIII-нач. XX вв. (до 1917 г.)</t>
        </is>
      </c>
      <c r="AE258" s="1" t="inlineStr">
        <is>
          <t>офсетная</t>
        </is>
      </c>
      <c r="AG258" s="1" t="n">
        <v>10162240</v>
      </c>
      <c r="AI258" s="1" t="inlineStr">
        <is>
          <t>4901990000</t>
        </is>
      </c>
    </row>
    <row r="259" customFormat="1" s="1">
      <c r="C259" s="1" t="inlineStr">
        <is>
          <t xml:space="preserve">8613630             </t>
        </is>
      </c>
      <c r="D259" s="1" t="inlineStr">
        <is>
          <t>Librarium</t>
        </is>
      </c>
      <c r="E259" s="1" t="inlineStr">
        <is>
          <t>Лисистрата и другие пьесы. Аристофан</t>
        </is>
      </c>
      <c r="F259" s="13" t="inlineStr">
        <is>
          <t>См.обл.</t>
        </is>
      </c>
      <c r="G259" s="1" t="inlineStr">
        <is>
          <t>Аристофан</t>
        </is>
      </c>
      <c r="H259" s="1" t="inlineStr">
        <is>
          <t>80х100/32</t>
        </is>
      </c>
      <c r="I259" s="1" t="n">
        <v>448</v>
      </c>
      <c r="J259" s="1" t="inlineStr">
        <is>
          <t>РИПОЛ Классик</t>
        </is>
      </c>
      <c r="M259" s="1" t="inlineStr">
        <is>
          <t>2026</t>
        </is>
      </c>
      <c r="N259" s="1" t="inlineStr">
        <is>
          <t>О</t>
        </is>
      </c>
      <c r="O259" s="9" t="n">
        <v>8</v>
      </c>
      <c r="P259" s="1">
        <f>ROUNDUP(750*(1-$F$3),2)</f>
        <v/>
      </c>
      <c r="Q259" s="1" t="inlineStr">
        <is>
          <t> </t>
        </is>
      </c>
      <c r="R259" s="1" t="inlineStr">
        <is>
          <t>978-5-386-10772-7</t>
        </is>
      </c>
      <c r="S259" s="1" t="inlineStr">
        <is>
          <t>9785386107727</t>
        </is>
      </c>
      <c r="T259" s="9" t="n">
        <v>10</v>
      </c>
      <c r="U259" s="1">
        <f>ROUNDUP(681.82*(1-$F$3),2)</f>
        <v/>
      </c>
      <c r="V259" s="1" t="n">
        <v>288</v>
      </c>
      <c r="Y259" s="1" t="inlineStr">
        <is>
          <t>Лисистрата и другие пьесы</t>
        </is>
      </c>
      <c r="Z259" s="1" t="inlineStr">
        <is>
          <t>16+</t>
        </is>
      </c>
      <c r="AA259" s="12" t="n">
        <v>43244</v>
      </c>
      <c r="AB259" s="1" t="inlineStr">
        <is>
          <t>Художественная литература</t>
        </is>
      </c>
      <c r="AC259" s="1" t="inlineStr">
        <is>
          <t>Зарубежная литература</t>
        </is>
      </c>
      <c r="AD259" s="1" t="inlineStr">
        <is>
          <t>Литература Древнего мира, Античности и Средних веков</t>
        </is>
      </c>
      <c r="AE259" s="1" t="inlineStr">
        <is>
          <t>офсетная</t>
        </is>
      </c>
      <c r="AG259" s="1" t="n">
        <v>8613630</v>
      </c>
      <c r="AI259" s="1" t="inlineStr">
        <is>
          <t>4901990000</t>
        </is>
      </c>
    </row>
    <row r="260" customFormat="1" s="1">
      <c r="C260" s="1" t="inlineStr">
        <is>
          <t xml:space="preserve">9733240             </t>
        </is>
      </c>
      <c r="D260" s="1" t="inlineStr">
        <is>
          <t>Librarium</t>
        </is>
      </c>
      <c r="E260" s="1" t="inlineStr">
        <is>
          <t>Люди театра. Гиляровский В.А.</t>
        </is>
      </c>
      <c r="F260" s="13" t="inlineStr">
        <is>
          <t>См.обл.</t>
        </is>
      </c>
      <c r="G260" s="1" t="inlineStr">
        <is>
          <t>Гиляровский В.А.</t>
        </is>
      </c>
      <c r="H260" s="1" t="inlineStr">
        <is>
          <t>80х100/32</t>
        </is>
      </c>
      <c r="I260" s="1" t="n">
        <v>390</v>
      </c>
      <c r="J260" s="1" t="inlineStr">
        <is>
          <t>РИПОЛ Классик</t>
        </is>
      </c>
      <c r="M260" s="1" t="inlineStr">
        <is>
          <t>2024</t>
        </is>
      </c>
      <c r="N260" s="1" t="inlineStr">
        <is>
          <t>О</t>
        </is>
      </c>
      <c r="O260" s="9" t="n">
        <v>10</v>
      </c>
      <c r="P260" s="1">
        <f>ROUNDUP(883.1*(1-$F$3),2)</f>
        <v/>
      </c>
      <c r="Q260" s="1" t="inlineStr">
        <is>
          <t> </t>
        </is>
      </c>
      <c r="R260" s="1" t="inlineStr">
        <is>
          <t>978-5-386-14362-6</t>
        </is>
      </c>
      <c r="S260" s="1" t="inlineStr">
        <is>
          <t>9785386143626</t>
        </is>
      </c>
      <c r="T260" s="9" t="n">
        <v>10</v>
      </c>
      <c r="U260" s="1">
        <f>ROUNDUP(802.82*(1-$F$3),2)</f>
        <v/>
      </c>
      <c r="V260" s="1" t="n">
        <v>295</v>
      </c>
      <c r="Y260" s="1" t="inlineStr">
        <is>
          <t>Люди театра</t>
        </is>
      </c>
      <c r="Z260" s="1" t="inlineStr">
        <is>
          <t>16+</t>
        </is>
      </c>
      <c r="AA260" s="12" t="n">
        <v>44473</v>
      </c>
      <c r="AB260" s="1" t="inlineStr">
        <is>
          <t>Художественная литература</t>
        </is>
      </c>
      <c r="AC260" s="1" t="inlineStr">
        <is>
          <t>Русская литература</t>
        </is>
      </c>
      <c r="AD260" s="1" t="inlineStr">
        <is>
          <t>Русская литература XVIII-нач. XX вв. (до 1917 г.)</t>
        </is>
      </c>
      <c r="AE260" s="1" t="inlineStr">
        <is>
          <t>офсетная</t>
        </is>
      </c>
      <c r="AG260" s="1" t="n">
        <v>9733240</v>
      </c>
      <c r="AI260" s="1" t="inlineStr">
        <is>
          <t>4901990000</t>
        </is>
      </c>
    </row>
    <row r="261" customFormat="1" s="1">
      <c r="C261" s="1" t="inlineStr">
        <is>
          <t xml:space="preserve">9664080             </t>
        </is>
      </c>
      <c r="D261" s="1" t="inlineStr">
        <is>
          <t>Librarium</t>
        </is>
      </c>
      <c r="E261" s="1" t="inlineStr">
        <is>
          <t>Мартин Иден. Лондон Дж.</t>
        </is>
      </c>
      <c r="F261" s="13" t="inlineStr">
        <is>
          <t>См.обл.</t>
        </is>
      </c>
      <c r="G261" s="1" t="inlineStr">
        <is>
          <t>Лондон Дж.</t>
        </is>
      </c>
      <c r="H261" s="1" t="inlineStr">
        <is>
          <t>80х100/32</t>
        </is>
      </c>
      <c r="I261" s="1" t="n">
        <v>476</v>
      </c>
      <c r="J261" s="1" t="inlineStr">
        <is>
          <t>РИПОЛ Классик</t>
        </is>
      </c>
      <c r="M261" s="1" t="inlineStr">
        <is>
          <t>2026</t>
        </is>
      </c>
      <c r="N261" s="1" t="inlineStr">
        <is>
          <t>О</t>
        </is>
      </c>
      <c r="O261" s="9" t="n">
        <v>8</v>
      </c>
      <c r="P261" s="1">
        <f>ROUNDUP(790*(1-$F$3),2)</f>
        <v/>
      </c>
      <c r="Q261" s="1" t="inlineStr">
        <is>
          <t> </t>
        </is>
      </c>
      <c r="R261" s="1" t="inlineStr">
        <is>
          <t>978-5-386-14152-3</t>
        </is>
      </c>
      <c r="S261" s="1" t="inlineStr">
        <is>
          <t>9785386141523</t>
        </is>
      </c>
      <c r="T261" s="9" t="n">
        <v>10</v>
      </c>
      <c r="U261" s="1">
        <f>ROUNDUP(718.18*(1-$F$3),2)</f>
        <v/>
      </c>
      <c r="V261" s="1" t="n">
        <v>316</v>
      </c>
      <c r="Y261" s="1" t="inlineStr">
        <is>
          <t>Мартин Иден</t>
        </is>
      </c>
      <c r="Z261" s="1" t="inlineStr">
        <is>
          <t>16+</t>
        </is>
      </c>
      <c r="AA261" s="12" t="n">
        <v>44316</v>
      </c>
      <c r="AB261" s="1" t="inlineStr">
        <is>
          <t>Художественная литература</t>
        </is>
      </c>
      <c r="AC261" s="1" t="inlineStr">
        <is>
          <t>Зарубежная литература</t>
        </is>
      </c>
      <c r="AD261" s="1" t="inlineStr">
        <is>
          <t>Литература Америки и Австралии</t>
        </is>
      </c>
      <c r="AE261" s="1" t="inlineStr">
        <is>
          <t>офсетная</t>
        </is>
      </c>
      <c r="AG261" s="1" t="n">
        <v>9664080</v>
      </c>
      <c r="AI261" s="1" t="inlineStr">
        <is>
          <t>4901990000</t>
        </is>
      </c>
    </row>
    <row r="262" customFormat="1" s="1">
      <c r="C262" s="1" t="inlineStr">
        <is>
          <t xml:space="preserve">10284980            </t>
        </is>
      </c>
      <c r="D262" s="1" t="inlineStr">
        <is>
          <t>Librarium</t>
        </is>
      </c>
      <c r="E262" s="1" t="inlineStr">
        <is>
          <t>Мастер и Маргарита. Булгаков М.А.</t>
        </is>
      </c>
      <c r="F262" s="13" t="inlineStr">
        <is>
          <t>См.обл.</t>
        </is>
      </c>
      <c r="G262" s="1" t="inlineStr">
        <is>
          <t>Булгаков М.А.</t>
        </is>
      </c>
      <c r="H262" s="1" t="inlineStr">
        <is>
          <t>80х100/32</t>
        </is>
      </c>
      <c r="I262" s="1" t="n">
        <v>520</v>
      </c>
      <c r="J262" s="1" t="inlineStr">
        <is>
          <t>РИПОЛ Классик</t>
        </is>
      </c>
      <c r="M262" s="1" t="inlineStr">
        <is>
          <t>2026</t>
        </is>
      </c>
      <c r="N262" s="1" t="inlineStr">
        <is>
          <t>О</t>
        </is>
      </c>
      <c r="O262" s="9" t="n">
        <v>8</v>
      </c>
      <c r="P262" s="1">
        <f>ROUNDUP(750*(1-$F$3),2)</f>
        <v/>
      </c>
      <c r="Q262" s="1" t="inlineStr">
        <is>
          <t> </t>
        </is>
      </c>
      <c r="R262" s="1" t="inlineStr">
        <is>
          <t>978-5-386-14151-6</t>
        </is>
      </c>
      <c r="S262" s="1" t="inlineStr">
        <is>
          <t>9785386141516</t>
        </is>
      </c>
      <c r="T262" s="9" t="n">
        <v>10</v>
      </c>
      <c r="U262" s="1">
        <f>ROUNDUP(681.82*(1-$F$3),2)</f>
        <v/>
      </c>
      <c r="V262" s="1" t="n">
        <v>341</v>
      </c>
      <c r="Y262" s="1" t="inlineStr">
        <is>
          <t>Мастер и Маргарита</t>
        </is>
      </c>
      <c r="Z262" s="1" t="inlineStr">
        <is>
          <t>16+</t>
        </is>
      </c>
      <c r="AA262" s="12" t="n">
        <v>44707</v>
      </c>
      <c r="AB262" s="1" t="inlineStr">
        <is>
          <t>Художественная литература</t>
        </is>
      </c>
      <c r="AC262" s="1" t="inlineStr">
        <is>
          <t>Русская литература</t>
        </is>
      </c>
      <c r="AD262" s="1" t="inlineStr">
        <is>
          <t>Русская литература советского периода (1917-1991 гг.)</t>
        </is>
      </c>
      <c r="AE262" s="1" t="inlineStr">
        <is>
          <t>офсетная</t>
        </is>
      </c>
      <c r="AG262" s="1" t="n">
        <v>10284980</v>
      </c>
      <c r="AI262" s="1" t="inlineStr">
        <is>
          <t>4901990000</t>
        </is>
      </c>
    </row>
    <row r="263" customFormat="1" s="1">
      <c r="C263" s="1" t="inlineStr">
        <is>
          <t xml:space="preserve">10630100            </t>
        </is>
      </c>
      <c r="D263" s="1" t="inlineStr">
        <is>
          <t>Librarium</t>
        </is>
      </c>
      <c r="E263" s="1" t="inlineStr">
        <is>
          <t>Молодость. Ходасевич В.Ф.</t>
        </is>
      </c>
      <c r="F263" s="13" t="inlineStr">
        <is>
          <t>См.обл.</t>
        </is>
      </c>
      <c r="G263" s="1" t="inlineStr">
        <is>
          <t>Ходасевич В.Ф.</t>
        </is>
      </c>
      <c r="H263" s="1" t="inlineStr">
        <is>
          <t>80х100/32</t>
        </is>
      </c>
      <c r="I263" s="1" t="n">
        <v>350</v>
      </c>
      <c r="J263" s="1" t="inlineStr">
        <is>
          <t>РИПОЛ Классик</t>
        </is>
      </c>
      <c r="M263" s="1" t="inlineStr">
        <is>
          <t>2026</t>
        </is>
      </c>
      <c r="N263" s="1" t="inlineStr">
        <is>
          <t>О</t>
        </is>
      </c>
      <c r="O263" s="9" t="n">
        <v>12</v>
      </c>
      <c r="P263" s="1">
        <f>ROUNDUP(857.3*(1-$F$3),2)</f>
        <v/>
      </c>
      <c r="Q263" s="1" t="inlineStr">
        <is>
          <t> </t>
        </is>
      </c>
      <c r="R263" s="1" t="inlineStr">
        <is>
          <t>978-5-386-14863-8</t>
        </is>
      </c>
      <c r="S263" s="1" t="inlineStr">
        <is>
          <t>9785386148638</t>
        </is>
      </c>
      <c r="T263" s="9" t="n">
        <v>10</v>
      </c>
      <c r="U263" s="1">
        <f>ROUNDUP(779.36*(1-$F$3),2)</f>
        <v/>
      </c>
      <c r="V263" s="1" t="n">
        <v>259</v>
      </c>
      <c r="Y263" s="1" t="inlineStr">
        <is>
          <t>Молодость</t>
        </is>
      </c>
      <c r="Z263" s="1" t="inlineStr">
        <is>
          <t>16+</t>
        </is>
      </c>
      <c r="AA263" s="12" t="n">
        <v>44831</v>
      </c>
      <c r="AB263" s="1" t="inlineStr">
        <is>
          <t>Художественная литература</t>
        </is>
      </c>
      <c r="AC263" s="1" t="inlineStr">
        <is>
          <t>Поэзия</t>
        </is>
      </c>
      <c r="AD263" s="1" t="inlineStr">
        <is>
          <t>Русская поэзия</t>
        </is>
      </c>
      <c r="AE263" s="1" t="inlineStr">
        <is>
          <t>офсетная</t>
        </is>
      </c>
      <c r="AG263" s="1" t="n">
        <v>10630100</v>
      </c>
      <c r="AI263" s="1" t="inlineStr">
        <is>
          <t>4901990000</t>
        </is>
      </c>
    </row>
    <row r="264" customFormat="1" s="1">
      <c r="C264" s="1" t="inlineStr">
        <is>
          <t xml:space="preserve">8621150             </t>
        </is>
      </c>
      <c r="D264" s="1" t="inlineStr">
        <is>
          <t>Librarium</t>
        </is>
      </c>
      <c r="E264" s="1" t="inlineStr">
        <is>
          <t>Моральные размышления о старости, о дружбе, об обязанностях. Цицерон М.Т.</t>
        </is>
      </c>
      <c r="F264" s="13" t="inlineStr">
        <is>
          <t>См.обл.</t>
        </is>
      </c>
      <c r="G264" s="1" t="inlineStr">
        <is>
          <t>Цицерон М.Т.</t>
        </is>
      </c>
      <c r="H264" s="1" t="inlineStr">
        <is>
          <t>80х100/32</t>
        </is>
      </c>
      <c r="I264" s="1" t="n">
        <v>450</v>
      </c>
      <c r="J264" s="1" t="inlineStr">
        <is>
          <t>РИПОЛ Классик</t>
        </is>
      </c>
      <c r="M264" s="1" t="inlineStr">
        <is>
          <t>2026</t>
        </is>
      </c>
      <c r="N264" s="1" t="inlineStr">
        <is>
          <t>О</t>
        </is>
      </c>
      <c r="O264" s="9" t="n">
        <v>8</v>
      </c>
      <c r="P264" s="1">
        <f>ROUNDUP(850*(1-$F$3),2)</f>
        <v/>
      </c>
      <c r="Q264" s="1" t="inlineStr">
        <is>
          <t> </t>
        </is>
      </c>
      <c r="R264" s="1" t="inlineStr">
        <is>
          <t>978-5-386-10748-2</t>
        </is>
      </c>
      <c r="S264" s="1" t="inlineStr">
        <is>
          <t>9785386107482</t>
        </is>
      </c>
      <c r="T264" s="9" t="n">
        <v>10</v>
      </c>
      <c r="U264" s="1">
        <f>ROUNDUP(772.73*(1-$F$3),2)</f>
        <v/>
      </c>
      <c r="V264" s="1" t="n">
        <v>328</v>
      </c>
      <c r="Y264" s="1" t="inlineStr">
        <is>
          <t>Моральные размышления о старости, о дружбе, об обязанностях</t>
        </is>
      </c>
      <c r="Z264" s="1" t="inlineStr">
        <is>
          <t>12+</t>
        </is>
      </c>
      <c r="AA264" s="12" t="n">
        <v>43244</v>
      </c>
      <c r="AB264" s="1" t="inlineStr">
        <is>
          <t>Гуманитарные науки</t>
        </is>
      </c>
      <c r="AC264" s="1" t="inlineStr">
        <is>
          <t>Философские науки</t>
        </is>
      </c>
      <c r="AD264" s="1" t="inlineStr">
        <is>
          <t>Этика</t>
        </is>
      </c>
      <c r="AE264" s="1" t="inlineStr">
        <is>
          <t>офсетная</t>
        </is>
      </c>
      <c r="AG264" s="1" t="n">
        <v>8621150</v>
      </c>
      <c r="AI264" s="1" t="inlineStr">
        <is>
          <t>4901990000</t>
        </is>
      </c>
    </row>
    <row r="265" customFormat="1" s="1">
      <c r="C265" s="1" t="inlineStr">
        <is>
          <t xml:space="preserve">9689310             </t>
        </is>
      </c>
      <c r="D265" s="1" t="inlineStr">
        <is>
          <t>Librarium</t>
        </is>
      </c>
      <c r="E265" s="1" t="inlineStr">
        <is>
          <t>Москва и москвичи. Гиляровский В.А.</t>
        </is>
      </c>
      <c r="F265" s="13" t="inlineStr">
        <is>
          <t>См.обл.</t>
        </is>
      </c>
      <c r="G265" s="1" t="inlineStr">
        <is>
          <t>Гиляровский В.А.</t>
        </is>
      </c>
      <c r="H265" s="1" t="inlineStr">
        <is>
          <t>80х100/32</t>
        </is>
      </c>
      <c r="I265" s="1" t="n">
        <v>518</v>
      </c>
      <c r="J265" s="1" t="inlineStr">
        <is>
          <t>РИПОЛ Классик</t>
        </is>
      </c>
      <c r="M265" s="1" t="inlineStr">
        <is>
          <t>2026</t>
        </is>
      </c>
      <c r="N265" s="1" t="inlineStr">
        <is>
          <t>О</t>
        </is>
      </c>
      <c r="O265" s="9" t="n">
        <v>8</v>
      </c>
      <c r="P265" s="1">
        <f>ROUNDUP(890*(1-$F$3),2)</f>
        <v/>
      </c>
      <c r="Q265" s="1" t="inlineStr">
        <is>
          <t> </t>
        </is>
      </c>
      <c r="R265" s="1" t="inlineStr">
        <is>
          <t>978-5-386-14234-6</t>
        </is>
      </c>
      <c r="S265" s="1" t="inlineStr">
        <is>
          <t>9785386142346</t>
        </is>
      </c>
      <c r="T265" s="9" t="n">
        <v>10</v>
      </c>
      <c r="U265" s="1">
        <f>ROUNDUP(809.09*(1-$F$3),2)</f>
        <v/>
      </c>
      <c r="V265" s="1" t="n">
        <v>359</v>
      </c>
      <c r="Y265" s="1" t="inlineStr">
        <is>
          <t>Москва и москвичи</t>
        </is>
      </c>
      <c r="Z265" s="1" t="inlineStr">
        <is>
          <t>12+</t>
        </is>
      </c>
      <c r="AA265" s="12" t="n">
        <v>44363</v>
      </c>
      <c r="AB265" s="1" t="inlineStr">
        <is>
          <t>Художественная литература</t>
        </is>
      </c>
      <c r="AC265" s="1" t="inlineStr">
        <is>
          <t>Русская литература</t>
        </is>
      </c>
      <c r="AD265" s="1" t="inlineStr">
        <is>
          <t>Русская литература XVIII-нач. XX вв. (до 1917 г.)</t>
        </is>
      </c>
      <c r="AE265" s="1" t="inlineStr">
        <is>
          <t>офсетная</t>
        </is>
      </c>
      <c r="AG265" s="1" t="n">
        <v>9689310</v>
      </c>
      <c r="AI265" s="1" t="inlineStr">
        <is>
          <t>4901990000</t>
        </is>
      </c>
    </row>
    <row r="266" customFormat="1" s="1">
      <c r="C266" s="1" t="inlineStr">
        <is>
          <t xml:space="preserve">9727390             </t>
        </is>
      </c>
      <c r="D266" s="1" t="inlineStr">
        <is>
          <t>Librarium</t>
        </is>
      </c>
      <c r="E266" s="1" t="inlineStr">
        <is>
          <t>Моя жизнь. Коровин К.А.</t>
        </is>
      </c>
      <c r="F266" s="13" t="inlineStr">
        <is>
          <t>См.обл.</t>
        </is>
      </c>
      <c r="G266" s="1" t="inlineStr">
        <is>
          <t>Коровин К.А.</t>
        </is>
      </c>
      <c r="H266" s="1" t="inlineStr">
        <is>
          <t>80х100/32</t>
        </is>
      </c>
      <c r="I266" s="1" t="n">
        <v>380</v>
      </c>
      <c r="J266" s="1" t="inlineStr">
        <is>
          <t>РИПОЛ Классик</t>
        </is>
      </c>
      <c r="M266" s="1" t="inlineStr">
        <is>
          <t>2026</t>
        </is>
      </c>
      <c r="N266" s="1" t="inlineStr">
        <is>
          <t>О</t>
        </is>
      </c>
      <c r="O266" s="9" t="n">
        <v>10</v>
      </c>
      <c r="P266" s="1">
        <f>ROUNDUP(850*(1-$F$3),2)</f>
        <v/>
      </c>
      <c r="Q266" s="1" t="inlineStr">
        <is>
          <t> </t>
        </is>
      </c>
      <c r="R266" s="1" t="inlineStr">
        <is>
          <t>978-5-386-14335-0</t>
        </is>
      </c>
      <c r="S266" s="1" t="inlineStr">
        <is>
          <t>9785386143350</t>
        </is>
      </c>
      <c r="T266" s="9" t="n">
        <v>10</v>
      </c>
      <c r="U266" s="1">
        <f>ROUNDUP(772.73*(1-$F$3),2)</f>
        <v/>
      </c>
      <c r="V266" s="1" t="n">
        <v>253</v>
      </c>
      <c r="Y266" s="1" t="inlineStr">
        <is>
          <t>Моя жизнь</t>
        </is>
      </c>
      <c r="Z266" s="1" t="inlineStr">
        <is>
          <t>16+</t>
        </is>
      </c>
      <c r="AA266" s="12" t="n">
        <v>44363</v>
      </c>
      <c r="AB266" s="1" t="inlineStr">
        <is>
          <t>Художественно-документальная проза</t>
        </is>
      </c>
      <c r="AC266" s="1" t="inlineStr">
        <is>
          <t>Биографии. Мемуары</t>
        </is>
      </c>
      <c r="AD266" s="1" t="inlineStr">
        <is>
          <t>Воспоминания. Дневники. Письма</t>
        </is>
      </c>
      <c r="AE266" s="1" t="inlineStr">
        <is>
          <t>офсетная</t>
        </is>
      </c>
      <c r="AG266" s="1" t="n">
        <v>9727390</v>
      </c>
      <c r="AI266" s="1" t="inlineStr">
        <is>
          <t>4901990000</t>
        </is>
      </c>
    </row>
    <row r="267" customFormat="1" s="1">
      <c r="C267" s="1" t="inlineStr">
        <is>
          <t xml:space="preserve">9801550             </t>
        </is>
      </c>
      <c r="D267" s="1" t="inlineStr">
        <is>
          <t>Librarium</t>
        </is>
      </c>
      <c r="E267" s="1" t="inlineStr">
        <is>
          <t>Мрачные души. Шницлер А.</t>
        </is>
      </c>
      <c r="F267" s="13" t="inlineStr">
        <is>
          <t>См.обл.</t>
        </is>
      </c>
      <c r="G267" s="1" t="inlineStr">
        <is>
          <t>Шницлер А.</t>
        </is>
      </c>
      <c r="H267" s="1" t="inlineStr">
        <is>
          <t>80х100/32</t>
        </is>
      </c>
      <c r="I267" s="1" t="n">
        <v>200</v>
      </c>
      <c r="J267" s="1" t="inlineStr">
        <is>
          <t>РИПОЛ Классик</t>
        </is>
      </c>
      <c r="M267" s="1" t="inlineStr">
        <is>
          <t>2026</t>
        </is>
      </c>
      <c r="N267" s="1" t="inlineStr">
        <is>
          <t>О</t>
        </is>
      </c>
      <c r="O267" s="9" t="n">
        <v>20</v>
      </c>
      <c r="P267" s="1">
        <f>ROUNDUP(750*(1-$F$3),2)</f>
        <v/>
      </c>
      <c r="Q267" s="1" t="inlineStr">
        <is>
          <t> </t>
        </is>
      </c>
      <c r="R267" s="1" t="inlineStr">
        <is>
          <t>978-5-386-14455-5</t>
        </is>
      </c>
      <c r="S267" s="1" t="inlineStr">
        <is>
          <t>9785386144555</t>
        </is>
      </c>
      <c r="T267" s="9" t="n">
        <v>10</v>
      </c>
      <c r="U267" s="1">
        <f>ROUNDUP(681.82*(1-$F$3),2)</f>
        <v/>
      </c>
      <c r="V267" s="1" t="n">
        <v>179</v>
      </c>
      <c r="Y267" s="1" t="inlineStr">
        <is>
          <t>Мрачные души</t>
        </is>
      </c>
      <c r="Z267" s="1" t="inlineStr">
        <is>
          <t>16+</t>
        </is>
      </c>
      <c r="AA267" s="12" t="n">
        <v>44473</v>
      </c>
      <c r="AB267" s="1" t="inlineStr">
        <is>
          <t>Художественная литература</t>
        </is>
      </c>
      <c r="AC267" s="1" t="inlineStr">
        <is>
          <t>Зарубежная литература</t>
        </is>
      </c>
      <c r="AD267" s="1" t="inlineStr">
        <is>
          <t>Европейская литература</t>
        </is>
      </c>
      <c r="AE267" s="1" t="inlineStr">
        <is>
          <t>офсетная</t>
        </is>
      </c>
      <c r="AG267" s="1" t="n">
        <v>9801550</v>
      </c>
      <c r="AI267" s="1" t="inlineStr">
        <is>
          <t>4901990000</t>
        </is>
      </c>
    </row>
    <row r="268" customFormat="1" s="1">
      <c r="C268" s="1" t="inlineStr">
        <is>
          <t xml:space="preserve">9613270             </t>
        </is>
      </c>
      <c r="D268" s="1" t="inlineStr">
        <is>
          <t>Librarium</t>
        </is>
      </c>
      <c r="E268" s="1" t="inlineStr">
        <is>
          <t>Мудрость бытия. Омар Хайям</t>
        </is>
      </c>
      <c r="F268" s="13" t="inlineStr">
        <is>
          <t>См.обл.</t>
        </is>
      </c>
      <c r="G268" s="1" t="inlineStr">
        <is>
          <t>Омар Хайям</t>
        </is>
      </c>
      <c r="H268" s="1" t="inlineStr">
        <is>
          <t>80х100/32</t>
        </is>
      </c>
      <c r="I268" s="1" t="n">
        <v>336</v>
      </c>
      <c r="J268" s="1" t="inlineStr">
        <is>
          <t>РИПОЛ Классик</t>
        </is>
      </c>
      <c r="M268" s="1" t="inlineStr">
        <is>
          <t>2026</t>
        </is>
      </c>
      <c r="N268" s="1" t="inlineStr">
        <is>
          <t>О</t>
        </is>
      </c>
      <c r="O268" s="9" t="n">
        <v>12</v>
      </c>
      <c r="P268" s="1">
        <f>ROUNDUP(990*(1-$F$3),2)</f>
        <v/>
      </c>
      <c r="Q268" s="1" t="inlineStr">
        <is>
          <t> </t>
        </is>
      </c>
      <c r="R268" s="1" t="inlineStr">
        <is>
          <t>978-5-386-13959-9</t>
        </is>
      </c>
      <c r="S268" s="1" t="inlineStr">
        <is>
          <t>9785386139599</t>
        </is>
      </c>
      <c r="T268" s="9" t="n">
        <v>10</v>
      </c>
      <c r="U268" s="1">
        <f>ROUNDUP(900*(1-$F$3),2)</f>
        <v/>
      </c>
      <c r="V268" s="1" t="n">
        <v>224</v>
      </c>
      <c r="Y268" s="1" t="inlineStr">
        <is>
          <t>Мудрость бытия</t>
        </is>
      </c>
      <c r="Z268" s="1" t="inlineStr">
        <is>
          <t>16+</t>
        </is>
      </c>
      <c r="AA268" s="12" t="n">
        <v>44341</v>
      </c>
      <c r="AB268" s="1" t="inlineStr">
        <is>
          <t>Художественная литература</t>
        </is>
      </c>
      <c r="AC268" s="1" t="inlineStr">
        <is>
          <t>Поэзия</t>
        </is>
      </c>
      <c r="AD268" s="1" t="inlineStr">
        <is>
          <t>Зарубежная поэзия</t>
        </is>
      </c>
      <c r="AE268" s="1" t="inlineStr">
        <is>
          <t>офсетная</t>
        </is>
      </c>
      <c r="AG268" s="1" t="n">
        <v>9613270</v>
      </c>
      <c r="AI268" s="1" t="inlineStr">
        <is>
          <t>4901990000</t>
        </is>
      </c>
    </row>
    <row r="269" customFormat="1" s="1">
      <c r="C269" s="1" t="inlineStr">
        <is>
          <t xml:space="preserve">9668240             </t>
        </is>
      </c>
      <c r="D269" s="1" t="inlineStr">
        <is>
          <t>Librarium</t>
        </is>
      </c>
      <c r="E269" s="1" t="inlineStr">
        <is>
          <t>Мы. Замятин Е.И.</t>
        </is>
      </c>
      <c r="F269" s="13" t="inlineStr">
        <is>
          <t>См.обл.</t>
        </is>
      </c>
      <c r="G269" s="1" t="inlineStr">
        <is>
          <t>Замятин Е.И.</t>
        </is>
      </c>
      <c r="H269" s="1" t="inlineStr">
        <is>
          <t>80х100/32</t>
        </is>
      </c>
      <c r="I269" s="1" t="n">
        <v>280</v>
      </c>
      <c r="J269" s="1" t="inlineStr">
        <is>
          <t>РИПОЛ Классик</t>
        </is>
      </c>
      <c r="M269" s="1" t="inlineStr">
        <is>
          <t>2026</t>
        </is>
      </c>
      <c r="N269" s="1" t="inlineStr">
        <is>
          <t>О</t>
        </is>
      </c>
      <c r="O269" s="9" t="n">
        <v>14</v>
      </c>
      <c r="P269" s="1">
        <f>ROUNDUP(750*(1-$F$3),2)</f>
        <v/>
      </c>
      <c r="Q269" s="1" t="inlineStr">
        <is>
          <t> </t>
        </is>
      </c>
      <c r="R269" s="1" t="inlineStr">
        <is>
          <t>978-5-386-14174-5</t>
        </is>
      </c>
      <c r="S269" s="1" t="inlineStr">
        <is>
          <t>9785386141745</t>
        </is>
      </c>
      <c r="T269" s="9" t="n">
        <v>10</v>
      </c>
      <c r="U269" s="1">
        <f>ROUNDUP(681.82*(1-$F$3),2)</f>
        <v/>
      </c>
      <c r="V269" s="1" t="n">
        <v>207</v>
      </c>
      <c r="Y269" s="1" t="inlineStr">
        <is>
          <t>Мы</t>
        </is>
      </c>
      <c r="Z269" s="1" t="inlineStr">
        <is>
          <t>12+</t>
        </is>
      </c>
      <c r="AA269" s="12" t="n">
        <v>44316</v>
      </c>
      <c r="AB269" s="1" t="inlineStr">
        <is>
          <t>Художественная литература</t>
        </is>
      </c>
      <c r="AC269" s="1" t="inlineStr">
        <is>
          <t>Русская литература</t>
        </is>
      </c>
      <c r="AD269" s="1" t="inlineStr">
        <is>
          <t>Русская литература советского периода (1917-1991 гг.)</t>
        </is>
      </c>
      <c r="AE269" s="1" t="inlineStr">
        <is>
          <t>офсетная</t>
        </is>
      </c>
      <c r="AG269" s="1" t="n">
        <v>9668240</v>
      </c>
      <c r="AI269" s="1" t="inlineStr">
        <is>
          <t>4901990000</t>
        </is>
      </c>
    </row>
    <row r="270" customFormat="1" s="1">
      <c r="C270" s="1" t="inlineStr">
        <is>
          <t xml:space="preserve">9671570             </t>
        </is>
      </c>
      <c r="D270" s="1" t="inlineStr">
        <is>
          <t>Librarium</t>
        </is>
      </c>
      <c r="E270" s="1" t="inlineStr">
        <is>
          <t>Наоборот. Гюисманс Ж.-К.</t>
        </is>
      </c>
      <c r="F270" s="13" t="inlineStr">
        <is>
          <t>См.обл.</t>
        </is>
      </c>
      <c r="G270" s="1" t="inlineStr">
        <is>
          <t>Гюисманс Ж.-К.</t>
        </is>
      </c>
      <c r="H270" s="1" t="inlineStr">
        <is>
          <t>80х100/32</t>
        </is>
      </c>
      <c r="I270" s="1" t="n">
        <v>312</v>
      </c>
      <c r="J270" s="1" t="inlineStr">
        <is>
          <t>РИПОЛ Классик</t>
        </is>
      </c>
      <c r="M270" s="1" t="inlineStr">
        <is>
          <t>2026</t>
        </is>
      </c>
      <c r="N270" s="1" t="inlineStr">
        <is>
          <t>О</t>
        </is>
      </c>
      <c r="O270" s="9" t="n">
        <v>14</v>
      </c>
      <c r="P270" s="1">
        <f>ROUNDUP(750*(1-$F$3),2)</f>
        <v/>
      </c>
      <c r="Q270" s="1" t="inlineStr">
        <is>
          <t> </t>
        </is>
      </c>
      <c r="R270" s="1" t="inlineStr">
        <is>
          <t>978-5-386-14168-4</t>
        </is>
      </c>
      <c r="S270" s="1" t="inlineStr">
        <is>
          <t>9785386141684</t>
        </is>
      </c>
      <c r="T270" s="9" t="n">
        <v>10</v>
      </c>
      <c r="U270" s="1">
        <f>ROUNDUP(681.82*(1-$F$3),2)</f>
        <v/>
      </c>
      <c r="V270" s="1" t="n">
        <v>173</v>
      </c>
      <c r="Y270" s="1" t="inlineStr">
        <is>
          <t>Наоборот</t>
        </is>
      </c>
      <c r="Z270" s="1" t="inlineStr">
        <is>
          <t>16+</t>
        </is>
      </c>
      <c r="AA270" s="12" t="n">
        <v>44316</v>
      </c>
      <c r="AB270" s="1" t="inlineStr">
        <is>
          <t>Художественная литература</t>
        </is>
      </c>
      <c r="AC270" s="1" t="inlineStr">
        <is>
          <t>Зарубежная литература</t>
        </is>
      </c>
      <c r="AD270" s="1" t="inlineStr">
        <is>
          <t>Европейская литература</t>
        </is>
      </c>
      <c r="AE270" s="1" t="inlineStr">
        <is>
          <t>офсетная</t>
        </is>
      </c>
      <c r="AG270" s="1" t="n">
        <v>9671570</v>
      </c>
      <c r="AI270" s="1" t="inlineStr">
        <is>
          <t>4901990000</t>
        </is>
      </c>
    </row>
    <row r="271" customFormat="1" s="1">
      <c r="C271" s="1" t="inlineStr">
        <is>
          <t xml:space="preserve">9675530             </t>
        </is>
      </c>
      <c r="D271" s="1" t="inlineStr">
        <is>
          <t>Librarium</t>
        </is>
      </c>
      <c r="E271" s="1" t="inlineStr">
        <is>
          <t>Наука побеждать. Суворов А.В.</t>
        </is>
      </c>
      <c r="F271" s="13" t="inlineStr">
        <is>
          <t>См.обл.</t>
        </is>
      </c>
      <c r="G271" s="1" t="inlineStr">
        <is>
          <t>Суворов А.В.</t>
        </is>
      </c>
      <c r="H271" s="1" t="inlineStr">
        <is>
          <t>80х100/32</t>
        </is>
      </c>
      <c r="I271" s="1" t="n">
        <v>270</v>
      </c>
      <c r="J271" s="1" t="inlineStr">
        <is>
          <t>РИПОЛ Классик</t>
        </is>
      </c>
      <c r="M271" s="1" t="inlineStr">
        <is>
          <t>2025</t>
        </is>
      </c>
      <c r="N271" s="1" t="inlineStr">
        <is>
          <t>О</t>
        </is>
      </c>
      <c r="O271" s="9" t="n">
        <v>8</v>
      </c>
      <c r="P271" s="1">
        <f>ROUNDUP(750*(1-$F$3),2)</f>
        <v/>
      </c>
      <c r="Q271" s="1" t="inlineStr">
        <is>
          <t> </t>
        </is>
      </c>
      <c r="R271" s="1" t="inlineStr">
        <is>
          <t>978-5-386-14149-3</t>
        </is>
      </c>
      <c r="S271" s="1" t="inlineStr">
        <is>
          <t>9785386141493</t>
        </is>
      </c>
      <c r="T271" s="9" t="n">
        <v>10</v>
      </c>
      <c r="U271" s="1">
        <f>ROUNDUP(681.82*(1-$F$3),2)</f>
        <v/>
      </c>
      <c r="V271" s="1" t="n">
        <v>204</v>
      </c>
      <c r="Y271" s="1" t="inlineStr">
        <is>
          <t>Наука побеждать</t>
        </is>
      </c>
      <c r="Z271" s="1" t="inlineStr">
        <is>
          <t>12+</t>
        </is>
      </c>
      <c r="AA271" s="12" t="n">
        <v>44316</v>
      </c>
      <c r="AB271" s="1" t="inlineStr">
        <is>
          <t>Общественные науки</t>
        </is>
      </c>
      <c r="AC271" s="1" t="inlineStr">
        <is>
          <t>Военное дело. Гражданская защита</t>
        </is>
      </c>
      <c r="AD271" s="1" t="inlineStr">
        <is>
          <t>Военное дело (тактика, стратегия). Военная подготовка</t>
        </is>
      </c>
      <c r="AE271" s="1" t="inlineStr">
        <is>
          <t>офсетная</t>
        </is>
      </c>
      <c r="AG271" s="1" t="n">
        <v>9675530</v>
      </c>
      <c r="AI271" s="1" t="inlineStr">
        <is>
          <t>4901990000</t>
        </is>
      </c>
    </row>
    <row r="272" customFormat="1" s="1">
      <c r="C272" s="1" t="inlineStr">
        <is>
          <t xml:space="preserve">10229420            </t>
        </is>
      </c>
      <c r="D272" s="1" t="inlineStr">
        <is>
          <t>Librarium</t>
        </is>
      </c>
      <c r="E272" s="1" t="inlineStr">
        <is>
          <t>Не воскрешайте меня!. Брюсов В.Я.</t>
        </is>
      </c>
      <c r="F272" s="13" t="inlineStr">
        <is>
          <t>См.обл.</t>
        </is>
      </c>
      <c r="G272" s="1" t="inlineStr">
        <is>
          <t>Брюсов В.Я.</t>
        </is>
      </c>
      <c r="H272" s="1" t="inlineStr">
        <is>
          <t>80х100/32</t>
        </is>
      </c>
      <c r="I272" s="1" t="n">
        <v>230</v>
      </c>
      <c r="J272" s="1" t="inlineStr">
        <is>
          <t>РИПОЛ Классик</t>
        </is>
      </c>
      <c r="M272" s="1" t="inlineStr">
        <is>
          <t>2026</t>
        </is>
      </c>
      <c r="N272" s="1" t="inlineStr">
        <is>
          <t>О</t>
        </is>
      </c>
      <c r="O272" s="9" t="n">
        <v>18</v>
      </c>
      <c r="P272" s="1">
        <f>ROUNDUP(750*(1-$F$3),2)</f>
        <v/>
      </c>
      <c r="Q272" s="1" t="inlineStr">
        <is>
          <t> </t>
        </is>
      </c>
      <c r="R272" s="1" t="inlineStr">
        <is>
          <t>978-5-386-14646-7</t>
        </is>
      </c>
      <c r="S272" s="1" t="inlineStr">
        <is>
          <t>9785386146467</t>
        </is>
      </c>
      <c r="T272" s="9" t="n">
        <v>10</v>
      </c>
      <c r="U272" s="1">
        <f>ROUNDUP(681.82*(1-$F$3),2)</f>
        <v/>
      </c>
      <c r="V272" s="1" t="n">
        <v>203</v>
      </c>
      <c r="Y272" s="1" t="inlineStr">
        <is>
          <t>Не воскрешайте меня!</t>
        </is>
      </c>
      <c r="Z272" s="1" t="inlineStr">
        <is>
          <t>12+</t>
        </is>
      </c>
      <c r="AA272" s="12" t="n">
        <v>44676</v>
      </c>
      <c r="AB272" s="1" t="inlineStr">
        <is>
          <t>Художественная литература</t>
        </is>
      </c>
      <c r="AC272" s="1" t="inlineStr">
        <is>
          <t>Фантастика. Мистика. Ужасы</t>
        </is>
      </c>
      <c r="AD272" s="1" t="inlineStr">
        <is>
          <t>Русская фантастика</t>
        </is>
      </c>
      <c r="AE272" s="1" t="inlineStr">
        <is>
          <t>офсетная</t>
        </is>
      </c>
      <c r="AG272" s="1" t="n">
        <v>10229420</v>
      </c>
      <c r="AI272" s="1" t="inlineStr">
        <is>
          <t>4901990000</t>
        </is>
      </c>
    </row>
    <row r="273" customFormat="1" s="1">
      <c r="C273" s="1" t="inlineStr">
        <is>
          <t xml:space="preserve">8483070             </t>
        </is>
      </c>
      <c r="D273" s="1" t="inlineStr">
        <is>
          <t>Librarium</t>
        </is>
      </c>
      <c r="E273" s="1" t="inlineStr">
        <is>
          <t>Новая жизнь. Данте Алигьери</t>
        </is>
      </c>
      <c r="F273" s="13" t="inlineStr">
        <is>
          <t>См.обл.</t>
        </is>
      </c>
      <c r="G273" s="1" t="inlineStr">
        <is>
          <t>Данте Алигьери</t>
        </is>
      </c>
      <c r="H273" s="1" t="inlineStr">
        <is>
          <t>80х100/32</t>
        </is>
      </c>
      <c r="I273" s="1" t="n">
        <v>214</v>
      </c>
      <c r="J273" s="1" t="inlineStr">
        <is>
          <t>РИПОЛ Классик</t>
        </is>
      </c>
      <c r="M273" s="1" t="inlineStr">
        <is>
          <t>2026</t>
        </is>
      </c>
      <c r="N273" s="1" t="inlineStr">
        <is>
          <t>О</t>
        </is>
      </c>
      <c r="O273" s="9" t="n">
        <v>18</v>
      </c>
      <c r="P273" s="1">
        <f>ROUNDUP(750*(1-$F$3),2)</f>
        <v/>
      </c>
      <c r="Q273" s="1" t="inlineStr">
        <is>
          <t> </t>
        </is>
      </c>
      <c r="R273" s="1" t="inlineStr">
        <is>
          <t>978-5-386-10627-0</t>
        </is>
      </c>
      <c r="S273" s="1" t="inlineStr">
        <is>
          <t>9785386106270</t>
        </is>
      </c>
      <c r="T273" s="9" t="n">
        <v>10</v>
      </c>
      <c r="U273" s="1">
        <f>ROUNDUP(681.82*(1-$F$3),2)</f>
        <v/>
      </c>
      <c r="V273" s="1" t="n">
        <v>192</v>
      </c>
      <c r="Y273" s="1" t="inlineStr">
        <is>
          <t>Новая жизнь</t>
        </is>
      </c>
      <c r="Z273" s="1" t="inlineStr">
        <is>
          <t>12+</t>
        </is>
      </c>
      <c r="AA273" s="12" t="n">
        <v>43150</v>
      </c>
      <c r="AB273" s="1" t="inlineStr">
        <is>
          <t>Художественная литература</t>
        </is>
      </c>
      <c r="AC273" s="1" t="inlineStr">
        <is>
          <t>Поэзия</t>
        </is>
      </c>
      <c r="AD273" s="1" t="inlineStr">
        <is>
          <t>Зарубежная поэзия</t>
        </is>
      </c>
      <c r="AE273" s="1" t="inlineStr">
        <is>
          <t>офсетная</t>
        </is>
      </c>
      <c r="AG273" s="1" t="n">
        <v>8483070</v>
      </c>
      <c r="AI273" s="1" t="inlineStr">
        <is>
          <t>4901990000</t>
        </is>
      </c>
    </row>
    <row r="274" customFormat="1" s="1">
      <c r="C274" s="1" t="inlineStr">
        <is>
          <t xml:space="preserve">10233690            </t>
        </is>
      </c>
      <c r="D274" s="1" t="inlineStr">
        <is>
          <t>Librarium</t>
        </is>
      </c>
      <c r="E274" s="1" t="inlineStr">
        <is>
          <t>Новая земля. Пробуждение к своей жизненной цели. Толле Э.</t>
        </is>
      </c>
      <c r="F274" s="13" t="inlineStr">
        <is>
          <t>См.обл.</t>
        </is>
      </c>
      <c r="G274" s="1" t="inlineStr">
        <is>
          <t>Толле Э.</t>
        </is>
      </c>
      <c r="H274" s="1" t="inlineStr">
        <is>
          <t>80х100/32</t>
        </is>
      </c>
      <c r="I274" s="1" t="n">
        <v>368</v>
      </c>
      <c r="J274" s="1" t="inlineStr">
        <is>
          <t>РИПОЛ Классик</t>
        </is>
      </c>
      <c r="M274" s="1" t="inlineStr">
        <is>
          <t>2026</t>
        </is>
      </c>
      <c r="N274" s="1" t="inlineStr">
        <is>
          <t>О</t>
        </is>
      </c>
      <c r="O274" s="9" t="n">
        <v>12</v>
      </c>
      <c r="P274" s="1">
        <f>ROUNDUP(750*(1-$F$3),2)</f>
        <v/>
      </c>
      <c r="Q274" s="1" t="inlineStr">
        <is>
          <t> </t>
        </is>
      </c>
      <c r="R274" s="1" t="inlineStr">
        <is>
          <t>978-5-386-14664-1</t>
        </is>
      </c>
      <c r="S274" s="1" t="inlineStr">
        <is>
          <t>9785386146641</t>
        </is>
      </c>
      <c r="T274" s="9" t="n">
        <v>22</v>
      </c>
      <c r="U274" s="1">
        <f>ROUNDUP(614.75*(1-$F$3),2)</f>
        <v/>
      </c>
      <c r="V274" s="1" t="n">
        <v>239</v>
      </c>
      <c r="Y274" s="1" t="inlineStr">
        <is>
          <t>Новая земля. Пробуждение к своей жизненной цели</t>
        </is>
      </c>
      <c r="Z274" s="1" t="inlineStr">
        <is>
          <t>12+</t>
        </is>
      </c>
      <c r="AA274" s="12" t="n">
        <v>44592</v>
      </c>
      <c r="AB274" s="1" t="inlineStr">
        <is>
          <t>Религии. Эзотерика. Оккультизм</t>
        </is>
      </c>
      <c r="AC274" s="1" t="inlineStr">
        <is>
          <t>Эзотерика. Парапсихология. Тайны</t>
        </is>
      </c>
      <c r="AD274" s="1" t="inlineStr">
        <is>
          <t>Эзотерические учения. Теософия</t>
        </is>
      </c>
      <c r="AE274" s="1" t="inlineStr">
        <is>
          <t>офсетная</t>
        </is>
      </c>
      <c r="AG274" s="1" t="n">
        <v>10233690</v>
      </c>
      <c r="AI274" s="1" t="inlineStr">
        <is>
          <t>4901990000</t>
        </is>
      </c>
    </row>
    <row r="275" customFormat="1" s="1">
      <c r="C275" s="1" t="inlineStr">
        <is>
          <t xml:space="preserve">8818940             </t>
        </is>
      </c>
      <c r="D275" s="1" t="inlineStr">
        <is>
          <t>Librarium</t>
        </is>
      </c>
      <c r="E275" s="1" t="inlineStr">
        <is>
          <t>О любви. Стендаль Ф</t>
        </is>
      </c>
      <c r="F275" s="13" t="inlineStr">
        <is>
          <t>См.обл.</t>
        </is>
      </c>
      <c r="G275" s="1" t="inlineStr">
        <is>
          <t>Стендаль Ф</t>
        </is>
      </c>
      <c r="H275" s="1" t="inlineStr">
        <is>
          <t>80х100/32</t>
        </is>
      </c>
      <c r="I275" s="1" t="n">
        <v>396</v>
      </c>
      <c r="J275" s="1" t="inlineStr">
        <is>
          <t>РИПОЛ Классик</t>
        </is>
      </c>
      <c r="M275" s="1" t="inlineStr">
        <is>
          <t>2026</t>
        </is>
      </c>
      <c r="N275" s="1" t="inlineStr">
        <is>
          <t>О</t>
        </is>
      </c>
      <c r="O275" s="9" t="n">
        <v>10</v>
      </c>
      <c r="P275" s="1">
        <f>ROUNDUP(750*(1-$F$3),2)</f>
        <v/>
      </c>
      <c r="Q275" s="1" t="inlineStr">
        <is>
          <t> </t>
        </is>
      </c>
      <c r="R275" s="1" t="inlineStr">
        <is>
          <t>978-5-386-12218-8</t>
        </is>
      </c>
      <c r="S275" s="1" t="inlineStr">
        <is>
          <t>9785386122188</t>
        </is>
      </c>
      <c r="T275" s="9" t="n">
        <v>10</v>
      </c>
      <c r="U275" s="1">
        <f>ROUNDUP(681.82*(1-$F$3),2)</f>
        <v/>
      </c>
      <c r="V275" s="1" t="n">
        <v>288</v>
      </c>
      <c r="Y275" s="1" t="inlineStr">
        <is>
          <t>О любви</t>
        </is>
      </c>
      <c r="Z275" s="1" t="inlineStr">
        <is>
          <t>12+</t>
        </is>
      </c>
      <c r="AA275" s="12" t="n">
        <v>43420</v>
      </c>
      <c r="AB275" s="1" t="inlineStr">
        <is>
          <t>Художественная литература</t>
        </is>
      </c>
      <c r="AC275" s="1" t="inlineStr">
        <is>
          <t>Зарубежная литература</t>
        </is>
      </c>
      <c r="AD275" s="1" t="inlineStr">
        <is>
          <t>Европейская литература</t>
        </is>
      </c>
      <c r="AE275" s="1" t="inlineStr">
        <is>
          <t>офсетная</t>
        </is>
      </c>
      <c r="AG275" s="1" t="n">
        <v>8818940</v>
      </c>
      <c r="AI275" s="1" t="inlineStr">
        <is>
          <t>4901990000</t>
        </is>
      </c>
    </row>
    <row r="276" customFormat="1" s="1">
      <c r="C276" s="1" t="inlineStr">
        <is>
          <t xml:space="preserve">9715810             </t>
        </is>
      </c>
      <c r="D276" s="1" t="inlineStr">
        <is>
          <t>Librarium</t>
        </is>
      </c>
      <c r="E276" s="1" t="inlineStr">
        <is>
          <t>Одноэтажная Америка. Ильф И.А., Петров Е.П</t>
        </is>
      </c>
      <c r="F276" s="13" t="inlineStr">
        <is>
          <t>См.обл.</t>
        </is>
      </c>
      <c r="G276" s="1" t="inlineStr">
        <is>
          <t>Ильф И.А., Петров Е.П</t>
        </is>
      </c>
      <c r="H276" s="1" t="inlineStr">
        <is>
          <t>80х100/32</t>
        </is>
      </c>
      <c r="I276" s="1" t="n">
        <v>512</v>
      </c>
      <c r="J276" s="1" t="inlineStr">
        <is>
          <t>РИПОЛ Классик</t>
        </is>
      </c>
      <c r="M276" s="1" t="inlineStr">
        <is>
          <t>2026</t>
        </is>
      </c>
      <c r="N276" s="1" t="inlineStr">
        <is>
          <t>О</t>
        </is>
      </c>
      <c r="O276" s="9" t="n">
        <v>8</v>
      </c>
      <c r="P276" s="1">
        <f>ROUNDUP(850*(1-$F$3),2)</f>
        <v/>
      </c>
      <c r="Q276" s="1" t="inlineStr">
        <is>
          <t> </t>
        </is>
      </c>
      <c r="R276" s="1" t="inlineStr">
        <is>
          <t>978-5-386-14295-7</t>
        </is>
      </c>
      <c r="S276" s="1" t="inlineStr">
        <is>
          <t>9785386142957</t>
        </is>
      </c>
      <c r="T276" s="9" t="n">
        <v>10</v>
      </c>
      <c r="U276" s="1">
        <f>ROUNDUP(772.73*(1-$F$3),2)</f>
        <v/>
      </c>
      <c r="V276" s="1" t="n">
        <v>378</v>
      </c>
      <c r="Y276" s="1" t="inlineStr">
        <is>
          <t>Одноэтажная Америка</t>
        </is>
      </c>
      <c r="Z276" s="1" t="inlineStr">
        <is>
          <t>12+</t>
        </is>
      </c>
      <c r="AA276" s="12" t="n">
        <v>44363</v>
      </c>
      <c r="AB276" s="1" t="inlineStr">
        <is>
          <t>Художественная литература</t>
        </is>
      </c>
      <c r="AC276" s="1" t="inlineStr">
        <is>
          <t>Русская литература</t>
        </is>
      </c>
      <c r="AD276" s="1" t="inlineStr">
        <is>
          <t>Русская литература советского периода (1917-1991 гг.)</t>
        </is>
      </c>
      <c r="AE276" s="1" t="inlineStr">
        <is>
          <t>офсетная</t>
        </is>
      </c>
      <c r="AG276" s="1" t="n">
        <v>9715810</v>
      </c>
      <c r="AI276" s="1" t="inlineStr">
        <is>
          <t>4901990000</t>
        </is>
      </c>
    </row>
    <row r="277" customFormat="1" s="1">
      <c r="C277" s="1" t="inlineStr">
        <is>
          <t xml:space="preserve">9766040             </t>
        </is>
      </c>
      <c r="D277" s="1" t="inlineStr">
        <is>
          <t>Librarium</t>
        </is>
      </c>
      <c r="E277" s="1" t="inlineStr">
        <is>
          <t>Отцы и дети. Тургенев И.С.</t>
        </is>
      </c>
      <c r="F277" s="13" t="inlineStr">
        <is>
          <t>См.обл.</t>
        </is>
      </c>
      <c r="G277" s="1" t="inlineStr">
        <is>
          <t>Тургенев И.С.</t>
        </is>
      </c>
      <c r="H277" s="1" t="inlineStr">
        <is>
          <t>80х100/32</t>
        </is>
      </c>
      <c r="I277" s="1" t="n">
        <v>288</v>
      </c>
      <c r="J277" s="1" t="inlineStr">
        <is>
          <t>РИПОЛ Классик</t>
        </is>
      </c>
      <c r="M277" s="1" t="inlineStr">
        <is>
          <t>2026</t>
        </is>
      </c>
      <c r="N277" s="1" t="inlineStr">
        <is>
          <t>О</t>
        </is>
      </c>
      <c r="O277" s="9" t="n">
        <v>14</v>
      </c>
      <c r="P277" s="1">
        <f>ROUNDUP(750*(1-$F$3),2)</f>
        <v/>
      </c>
      <c r="Q277" s="1" t="inlineStr">
        <is>
          <t> </t>
        </is>
      </c>
      <c r="R277" s="1" t="inlineStr">
        <is>
          <t>978-5-386-14388-6</t>
        </is>
      </c>
      <c r="S277" s="1" t="inlineStr">
        <is>
          <t>9785386143886</t>
        </is>
      </c>
      <c r="T277" s="9" t="n">
        <v>10</v>
      </c>
      <c r="U277" s="1">
        <f>ROUNDUP(681.82*(1-$F$3),2)</f>
        <v/>
      </c>
      <c r="V277" s="1" t="n">
        <v>217</v>
      </c>
      <c r="Y277" s="1" t="inlineStr">
        <is>
          <t>Отцы и дети</t>
        </is>
      </c>
      <c r="Z277" s="1" t="inlineStr">
        <is>
          <t>12+</t>
        </is>
      </c>
      <c r="AA277" s="12" t="n">
        <v>44473</v>
      </c>
      <c r="AB277" s="1" t="inlineStr">
        <is>
          <t>Художественная литература</t>
        </is>
      </c>
      <c r="AC277" s="1" t="inlineStr">
        <is>
          <t>Русская литература</t>
        </is>
      </c>
      <c r="AD277" s="1" t="inlineStr">
        <is>
          <t>Русская литература XVIII-нач. XX вв. (до 1917 г.)</t>
        </is>
      </c>
      <c r="AE277" s="1" t="inlineStr">
        <is>
          <t>офсетная</t>
        </is>
      </c>
      <c r="AG277" s="1" t="n">
        <v>9766040</v>
      </c>
      <c r="AI277" s="1" t="inlineStr">
        <is>
          <t>4901990000</t>
        </is>
      </c>
    </row>
    <row r="278" customFormat="1" s="1">
      <c r="C278" s="1" t="inlineStr">
        <is>
          <t xml:space="preserve">10134420            </t>
        </is>
      </c>
      <c r="D278" s="1" t="inlineStr">
        <is>
          <t>Librarium</t>
        </is>
      </c>
      <c r="E278" s="1" t="inlineStr">
        <is>
          <t>Парижские арабески. Гюисманс Ж.-К.</t>
        </is>
      </c>
      <c r="F278" s="13" t="inlineStr">
        <is>
          <t>См.обл.</t>
        </is>
      </c>
      <c r="G278" s="1" t="inlineStr">
        <is>
          <t>Гюисманс Ж.-К.</t>
        </is>
      </c>
      <c r="H278" s="1" t="inlineStr">
        <is>
          <t>80х100/32</t>
        </is>
      </c>
      <c r="I278" s="1" t="n">
        <v>248</v>
      </c>
      <c r="J278" s="1" t="inlineStr">
        <is>
          <t>РИПОЛ Классик</t>
        </is>
      </c>
      <c r="M278" s="1" t="inlineStr">
        <is>
          <t>2026</t>
        </is>
      </c>
      <c r="N278" s="1" t="inlineStr">
        <is>
          <t>О</t>
        </is>
      </c>
      <c r="O278" s="9" t="n">
        <v>16</v>
      </c>
      <c r="P278" s="1">
        <f>ROUNDUP(722.4*(1-$F$3),2)</f>
        <v/>
      </c>
      <c r="Q278" s="1" t="inlineStr">
        <is>
          <t> </t>
        </is>
      </c>
      <c r="R278" s="1" t="inlineStr">
        <is>
          <t>978-5-386-14611-5</t>
        </is>
      </c>
      <c r="S278" s="1" t="inlineStr">
        <is>
          <t>9785386146115</t>
        </is>
      </c>
      <c r="T278" s="9" t="n">
        <v>10</v>
      </c>
      <c r="U278" s="1">
        <f>ROUNDUP(656.73*(1-$F$3),2)</f>
        <v/>
      </c>
      <c r="V278" s="1" t="n">
        <v>183</v>
      </c>
      <c r="Y278" s="1" t="inlineStr">
        <is>
          <t>Парижские арабески</t>
        </is>
      </c>
      <c r="Z278" s="1" t="inlineStr">
        <is>
          <t>16+</t>
        </is>
      </c>
      <c r="AA278" s="12" t="n">
        <v>44593</v>
      </c>
      <c r="AB278" s="1" t="inlineStr">
        <is>
          <t>Художественная литература</t>
        </is>
      </c>
      <c r="AC278" s="1" t="inlineStr">
        <is>
          <t>Зарубежная литература</t>
        </is>
      </c>
      <c r="AD278" s="1" t="inlineStr">
        <is>
          <t>Европейская литература</t>
        </is>
      </c>
      <c r="AE278" s="1" t="inlineStr">
        <is>
          <t>офсетная</t>
        </is>
      </c>
      <c r="AG278" s="1" t="n">
        <v>10134420</v>
      </c>
      <c r="AI278" s="1" t="inlineStr">
        <is>
          <t>4901990000</t>
        </is>
      </c>
    </row>
    <row r="279" customFormat="1" s="1">
      <c r="C279" s="1" t="inlineStr">
        <is>
          <t xml:space="preserve">9794480             </t>
        </is>
      </c>
      <c r="D279" s="1" t="inlineStr">
        <is>
          <t>Librarium</t>
        </is>
      </c>
      <c r="E279" s="1" t="inlineStr">
        <is>
          <t>Пер Гюнт. Ибсен Г.Ю.</t>
        </is>
      </c>
      <c r="F279" s="13" t="inlineStr">
        <is>
          <t>См.обл.</t>
        </is>
      </c>
      <c r="G279" s="1" t="inlineStr">
        <is>
          <t>Ибсен Г.Ю.</t>
        </is>
      </c>
      <c r="H279" s="1" t="inlineStr">
        <is>
          <t>80х100/32</t>
        </is>
      </c>
      <c r="I279" s="1" t="n">
        <v>388</v>
      </c>
      <c r="J279" s="1" t="inlineStr">
        <is>
          <t>РИПОЛ Классик</t>
        </is>
      </c>
      <c r="M279" s="1" t="inlineStr">
        <is>
          <t>2026</t>
        </is>
      </c>
      <c r="N279" s="1" t="inlineStr">
        <is>
          <t>О</t>
        </is>
      </c>
      <c r="O279" s="9" t="n">
        <v>10</v>
      </c>
      <c r="P279" s="1">
        <f>ROUNDUP(750*(1-$F$3),2)</f>
        <v/>
      </c>
      <c r="Q279" s="1" t="inlineStr">
        <is>
          <t> </t>
        </is>
      </c>
      <c r="R279" s="1" t="inlineStr">
        <is>
          <t>978-5-386-14448-7</t>
        </is>
      </c>
      <c r="S279" s="1" t="inlineStr">
        <is>
          <t>9785386144487</t>
        </is>
      </c>
      <c r="T279" s="9" t="n">
        <v>10</v>
      </c>
      <c r="U279" s="1">
        <f>ROUNDUP(681.82*(1-$F$3),2)</f>
        <v/>
      </c>
      <c r="V279" s="1" t="n">
        <v>257</v>
      </c>
      <c r="Y279" s="1" t="inlineStr">
        <is>
          <t>Пер Гюнт</t>
        </is>
      </c>
      <c r="Z279" s="1" t="inlineStr">
        <is>
          <t>16+</t>
        </is>
      </c>
      <c r="AA279" s="12" t="n">
        <v>44473</v>
      </c>
      <c r="AB279" s="1" t="inlineStr">
        <is>
          <t>Художественная литература</t>
        </is>
      </c>
      <c r="AC279" s="1" t="inlineStr">
        <is>
          <t>Драматургия</t>
        </is>
      </c>
      <c r="AD279" s="1" t="inlineStr">
        <is>
          <t>Зарубежная драматургия</t>
        </is>
      </c>
      <c r="AE279" s="1" t="inlineStr">
        <is>
          <t>офсетная</t>
        </is>
      </c>
      <c r="AG279" s="1" t="n">
        <v>9794480</v>
      </c>
      <c r="AI279" s="1" t="inlineStr">
        <is>
          <t>4901990000</t>
        </is>
      </c>
    </row>
    <row r="280" customFormat="1" s="1">
      <c r="C280" s="1" t="inlineStr">
        <is>
          <t xml:space="preserve">10723550            </t>
        </is>
      </c>
      <c r="D280" s="1" t="inlineStr">
        <is>
          <t>Librarium</t>
        </is>
      </c>
      <c r="E280" s="1" t="inlineStr">
        <is>
          <t>Песни Мальдорора. Стихотворения. Лотреамон</t>
        </is>
      </c>
      <c r="F280" s="13" t="inlineStr">
        <is>
          <t>См.обл.</t>
        </is>
      </c>
      <c r="G280" s="1" t="inlineStr">
        <is>
          <t>Лотреамон</t>
        </is>
      </c>
      <c r="H280" s="1" t="inlineStr">
        <is>
          <t>80х100/32</t>
        </is>
      </c>
      <c r="I280" s="1" t="n">
        <v>384</v>
      </c>
      <c r="J280" s="1" t="inlineStr">
        <is>
          <t>РИПОЛ Классик</t>
        </is>
      </c>
      <c r="M280" s="1" t="inlineStr">
        <is>
          <t>2026</t>
        </is>
      </c>
      <c r="N280" s="1" t="inlineStr">
        <is>
          <t>О</t>
        </is>
      </c>
      <c r="O280" s="9" t="n">
        <v>8</v>
      </c>
      <c r="P280" s="1">
        <f>ROUNDUP(990*(1-$F$3),2)</f>
        <v/>
      </c>
      <c r="Q280" s="1" t="inlineStr">
        <is>
          <t> </t>
        </is>
      </c>
      <c r="R280" s="1" t="inlineStr">
        <is>
          <t>978-5-386-14941-3</t>
        </is>
      </c>
      <c r="S280" s="1" t="inlineStr">
        <is>
          <t>9785386149413</t>
        </is>
      </c>
      <c r="T280" s="9" t="n">
        <v>22</v>
      </c>
      <c r="U280" s="1">
        <f>ROUNDUP(811.48*(1-$F$3),2)</f>
        <v/>
      </c>
      <c r="V280" s="1" t="n">
        <v>254</v>
      </c>
      <c r="Y280" s="1" t="inlineStr">
        <is>
          <t>Песни Мальдорора. Стихотворения</t>
        </is>
      </c>
      <c r="Z280" s="1" t="inlineStr">
        <is>
          <t>18+</t>
        </is>
      </c>
      <c r="AA280" s="12" t="n">
        <v>44907</v>
      </c>
      <c r="AB280" s="1" t="inlineStr">
        <is>
          <t>Художественная литература</t>
        </is>
      </c>
      <c r="AC280" s="1" t="inlineStr">
        <is>
          <t>Зарубежная литература</t>
        </is>
      </c>
      <c r="AD280" s="1" t="inlineStr">
        <is>
          <t>Европейская литература</t>
        </is>
      </c>
      <c r="AE280" s="1" t="inlineStr">
        <is>
          <t>офсетная</t>
        </is>
      </c>
      <c r="AG280" s="1" t="n">
        <v>10723550</v>
      </c>
      <c r="AI280" s="1" t="inlineStr">
        <is>
          <t>4901990000</t>
        </is>
      </c>
    </row>
    <row r="281" customFormat="1" s="1">
      <c r="C281" s="1" t="inlineStr">
        <is>
          <t xml:space="preserve">9733310             </t>
        </is>
      </c>
      <c r="D281" s="1" t="inlineStr">
        <is>
          <t>Librarium</t>
        </is>
      </c>
      <c r="E281" s="1" t="inlineStr">
        <is>
          <t>Петербургские повести. Гоголь Н.В.</t>
        </is>
      </c>
      <c r="F281" s="13" t="inlineStr">
        <is>
          <t>См.обл.</t>
        </is>
      </c>
      <c r="G281" s="1" t="inlineStr">
        <is>
          <t>Гоголь Н.В.</t>
        </is>
      </c>
      <c r="H281" s="1" t="inlineStr">
        <is>
          <t>80х100/32</t>
        </is>
      </c>
      <c r="I281" s="1" t="n">
        <v>302</v>
      </c>
      <c r="J281" s="1" t="inlineStr">
        <is>
          <t>РИПОЛ Классик</t>
        </is>
      </c>
      <c r="M281" s="1" t="inlineStr">
        <is>
          <t>2026</t>
        </is>
      </c>
      <c r="N281" s="1" t="inlineStr">
        <is>
          <t>О</t>
        </is>
      </c>
      <c r="O281" s="9" t="n">
        <v>14</v>
      </c>
      <c r="P281" s="1">
        <f>ROUNDUP(853.5*(1-$F$3),2)</f>
        <v/>
      </c>
      <c r="Q281" s="1" t="inlineStr">
        <is>
          <t> </t>
        </is>
      </c>
      <c r="R281" s="1" t="inlineStr">
        <is>
          <t>978-5-386-14374-9</t>
        </is>
      </c>
      <c r="S281" s="1" t="inlineStr">
        <is>
          <t>9785386143749</t>
        </is>
      </c>
      <c r="T281" s="9" t="n">
        <v>10</v>
      </c>
      <c r="U281" s="1">
        <f>ROUNDUP(775.91*(1-$F$3),2)</f>
        <v/>
      </c>
      <c r="V281" s="1" t="n">
        <v>221</v>
      </c>
      <c r="Y281" s="1" t="inlineStr">
        <is>
          <t>Петербургские повести</t>
        </is>
      </c>
      <c r="Z281" s="1" t="inlineStr">
        <is>
          <t>12+</t>
        </is>
      </c>
      <c r="AA281" s="12" t="n">
        <v>44473</v>
      </c>
      <c r="AB281" s="1" t="inlineStr">
        <is>
          <t>Художественная литература</t>
        </is>
      </c>
      <c r="AC281" s="1" t="inlineStr">
        <is>
          <t>Русская литература</t>
        </is>
      </c>
      <c r="AD281" s="1" t="inlineStr">
        <is>
          <t>Русская литература XVIII-нач. XX вв. (до 1917 г.)</t>
        </is>
      </c>
      <c r="AE281" s="1" t="inlineStr">
        <is>
          <t>офсетная</t>
        </is>
      </c>
      <c r="AG281" s="1" t="n">
        <v>9733310</v>
      </c>
      <c r="AI281" s="1" t="inlineStr">
        <is>
          <t>4901990000</t>
        </is>
      </c>
    </row>
    <row r="282" customFormat="1" s="1">
      <c r="C282" s="1" t="inlineStr">
        <is>
          <t xml:space="preserve">8852280             </t>
        </is>
      </c>
      <c r="D282" s="1" t="inlineStr">
        <is>
          <t>Librarium</t>
        </is>
      </c>
      <c r="E282" s="1" t="inlineStr">
        <is>
          <t>Пир. Платон</t>
        </is>
      </c>
      <c r="F282" s="13" t="inlineStr">
        <is>
          <t>См.обл.</t>
        </is>
      </c>
      <c r="G282" s="1" t="inlineStr">
        <is>
          <t>Платон</t>
        </is>
      </c>
      <c r="H282" s="1" t="inlineStr">
        <is>
          <t>80х100/32</t>
        </is>
      </c>
      <c r="I282" s="1" t="n">
        <v>314</v>
      </c>
      <c r="J282" s="1" t="inlineStr">
        <is>
          <t>РИПОЛ Классик</t>
        </is>
      </c>
      <c r="K282" s="1" t="inlineStr">
        <is>
          <t>Панглосс</t>
        </is>
      </c>
      <c r="M282" s="1" t="inlineStr">
        <is>
          <t>2026</t>
        </is>
      </c>
      <c r="N282" s="1" t="inlineStr">
        <is>
          <t>О</t>
        </is>
      </c>
      <c r="O282" s="9" t="n">
        <v>14</v>
      </c>
      <c r="P282" s="1">
        <f>ROUNDUP(750*(1-$F$3),2)</f>
        <v/>
      </c>
      <c r="Q282" s="1" t="inlineStr">
        <is>
          <t> </t>
        </is>
      </c>
      <c r="R282" s="1" t="inlineStr">
        <is>
          <t>978-5-386-12293-5</t>
        </is>
      </c>
      <c r="S282" s="1" t="inlineStr">
        <is>
          <t>9785386122935</t>
        </is>
      </c>
      <c r="T282" s="9" t="n">
        <v>10</v>
      </c>
      <c r="U282" s="1">
        <f>ROUNDUP(681.82*(1-$F$3),2)</f>
        <v/>
      </c>
      <c r="V282" s="1" t="n">
        <v>256</v>
      </c>
      <c r="Y282" s="1" t="inlineStr">
        <is>
          <t>Пир</t>
        </is>
      </c>
      <c r="Z282" s="1" t="inlineStr">
        <is>
          <t>12+</t>
        </is>
      </c>
      <c r="AA282" s="12" t="n">
        <v>43447</v>
      </c>
      <c r="AB282" s="1" t="inlineStr">
        <is>
          <t>Гуманитарные науки</t>
        </is>
      </c>
      <c r="AC282" s="1" t="inlineStr">
        <is>
          <t>Философские науки</t>
        </is>
      </c>
      <c r="AD282" s="1" t="inlineStr">
        <is>
          <t>История философии. Античная философия</t>
        </is>
      </c>
      <c r="AE282" s="1" t="inlineStr">
        <is>
          <t>офсетная</t>
        </is>
      </c>
      <c r="AG282" s="1" t="n">
        <v>8852280</v>
      </c>
      <c r="AI282" s="1" t="inlineStr">
        <is>
          <t>4901990000</t>
        </is>
      </c>
    </row>
    <row r="283" customFormat="1" s="1">
      <c r="C283" s="1" t="inlineStr">
        <is>
          <t xml:space="preserve">9735250             </t>
        </is>
      </c>
      <c r="D283" s="1" t="inlineStr">
        <is>
          <t>Librarium</t>
        </is>
      </c>
      <c r="E283" s="1" t="inlineStr">
        <is>
          <t>Письма сестре. Врубель М.А.</t>
        </is>
      </c>
      <c r="F283" s="13" t="inlineStr">
        <is>
          <t>См.обл.</t>
        </is>
      </c>
      <c r="G283" s="1" t="inlineStr">
        <is>
          <t>Врубель М.А.</t>
        </is>
      </c>
      <c r="H283" s="1" t="inlineStr">
        <is>
          <t>80х100/32</t>
        </is>
      </c>
      <c r="I283" s="1" t="n">
        <v>180</v>
      </c>
      <c r="J283" s="1" t="inlineStr">
        <is>
          <t>РИПОЛ Классик</t>
        </is>
      </c>
      <c r="M283" s="1" t="inlineStr">
        <is>
          <t>2026</t>
        </is>
      </c>
      <c r="N283" s="1" t="inlineStr">
        <is>
          <t>О</t>
        </is>
      </c>
      <c r="O283" s="9" t="n">
        <v>22</v>
      </c>
      <c r="P283" s="1">
        <f>ROUNDUP(750*(1-$F$3),2)</f>
        <v/>
      </c>
      <c r="Q283" s="1" t="inlineStr">
        <is>
          <t> </t>
        </is>
      </c>
      <c r="R283" s="1" t="inlineStr">
        <is>
          <t>978-5-386-14336-7</t>
        </is>
      </c>
      <c r="S283" s="1" t="inlineStr">
        <is>
          <t>9785386143367</t>
        </is>
      </c>
      <c r="T283" s="9" t="n">
        <v>10</v>
      </c>
      <c r="U283" s="1">
        <f>ROUNDUP(681.82*(1-$F$3),2)</f>
        <v/>
      </c>
      <c r="V283" s="1" t="n">
        <v>162</v>
      </c>
      <c r="Y283" s="1" t="inlineStr">
        <is>
          <t>Письма сестре</t>
        </is>
      </c>
      <c r="Z283" s="1" t="inlineStr">
        <is>
          <t>12+</t>
        </is>
      </c>
      <c r="AA283" s="12" t="n">
        <v>44473</v>
      </c>
      <c r="AB283" s="1" t="inlineStr">
        <is>
          <t>Художественно-документальная проза</t>
        </is>
      </c>
      <c r="AC283" s="1" t="inlineStr">
        <is>
          <t>Биографии. Мемуары</t>
        </is>
      </c>
      <c r="AD283" s="1" t="inlineStr">
        <is>
          <t>Воспоминания. Дневники. Письма</t>
        </is>
      </c>
      <c r="AE283" s="1" t="inlineStr">
        <is>
          <t>офсетная</t>
        </is>
      </c>
      <c r="AG283" s="1" t="n">
        <v>9735250</v>
      </c>
      <c r="AI283" s="1" t="inlineStr">
        <is>
          <t>4901990000</t>
        </is>
      </c>
    </row>
    <row r="284" customFormat="1" s="1">
      <c r="C284" s="1" t="inlineStr">
        <is>
          <t xml:space="preserve">9679010             </t>
        </is>
      </c>
      <c r="D284" s="1" t="inlineStr">
        <is>
          <t>Librarium</t>
        </is>
      </c>
      <c r="E284" s="1" t="inlineStr">
        <is>
          <t>Плоды раздумья. Прутков К.П.</t>
        </is>
      </c>
      <c r="F284" s="13" t="inlineStr">
        <is>
          <t>См.обл.</t>
        </is>
      </c>
      <c r="G284" s="1" t="inlineStr">
        <is>
          <t>Прутков К.П.</t>
        </is>
      </c>
      <c r="H284" s="1" t="inlineStr">
        <is>
          <t>80х100/32</t>
        </is>
      </c>
      <c r="I284" s="1" t="n">
        <v>346</v>
      </c>
      <c r="J284" s="1" t="inlineStr">
        <is>
          <t>РИПОЛ Классик</t>
        </is>
      </c>
      <c r="M284" s="1" t="inlineStr">
        <is>
          <t>2026</t>
        </is>
      </c>
      <c r="N284" s="1" t="inlineStr">
        <is>
          <t>О</t>
        </is>
      </c>
      <c r="O284" s="9" t="n">
        <v>12</v>
      </c>
      <c r="P284" s="1">
        <f>ROUNDUP(750*(1-$F$3),2)</f>
        <v/>
      </c>
      <c r="Q284" s="1" t="inlineStr">
        <is>
          <t> </t>
        </is>
      </c>
      <c r="R284" s="1" t="inlineStr">
        <is>
          <t>978-5-386-14203-2</t>
        </is>
      </c>
      <c r="S284" s="1" t="inlineStr">
        <is>
          <t>9785386142032</t>
        </is>
      </c>
      <c r="T284" s="9" t="n">
        <v>10</v>
      </c>
      <c r="U284" s="1">
        <f>ROUNDUP(681.82*(1-$F$3),2)</f>
        <v/>
      </c>
      <c r="V284" s="1" t="n">
        <v>256</v>
      </c>
      <c r="Y284" s="1" t="inlineStr">
        <is>
          <t>Плоды раздумья</t>
        </is>
      </c>
      <c r="Z284" s="1" t="inlineStr">
        <is>
          <t>12+</t>
        </is>
      </c>
      <c r="AA284" s="12" t="n">
        <v>44363</v>
      </c>
      <c r="AB284" s="1" t="inlineStr">
        <is>
          <t>Художественная литература</t>
        </is>
      </c>
      <c r="AC284" s="1" t="inlineStr">
        <is>
          <t>Русская литература</t>
        </is>
      </c>
      <c r="AD284" s="1" t="inlineStr">
        <is>
          <t>Русская литература XVIII-нач. XX вв. (до 1917 г.)</t>
        </is>
      </c>
      <c r="AE284" s="1" t="inlineStr">
        <is>
          <t>офсетная</t>
        </is>
      </c>
      <c r="AG284" s="1" t="n">
        <v>9679010</v>
      </c>
      <c r="AI284" s="1" t="inlineStr">
        <is>
          <t>4901990000</t>
        </is>
      </c>
    </row>
    <row r="285" customFormat="1" s="1">
      <c r="C285" s="1" t="inlineStr">
        <is>
          <t xml:space="preserve">10644990            </t>
        </is>
      </c>
      <c r="D285" s="1" t="inlineStr">
        <is>
          <t>Librarium</t>
        </is>
      </c>
      <c r="E285" s="1" t="inlineStr">
        <is>
          <t>По прихоти короля. Ренье А., де</t>
        </is>
      </c>
      <c r="F285" s="13" t="inlineStr">
        <is>
          <t>См.обл.</t>
        </is>
      </c>
      <c r="G285" s="1" t="inlineStr">
        <is>
          <t>Ренье А., де</t>
        </is>
      </c>
      <c r="H285" s="1" t="inlineStr">
        <is>
          <t>80х100/32</t>
        </is>
      </c>
      <c r="I285" s="1" t="n">
        <v>262</v>
      </c>
      <c r="J285" s="1" t="inlineStr">
        <is>
          <t>РИПОЛ Классик</t>
        </is>
      </c>
      <c r="M285" s="1" t="inlineStr">
        <is>
          <t>2026</t>
        </is>
      </c>
      <c r="N285" s="1" t="inlineStr">
        <is>
          <t>О</t>
        </is>
      </c>
      <c r="O285" s="9" t="n">
        <v>16</v>
      </c>
      <c r="P285" s="1">
        <f>ROUNDUP(990*(1-$F$3),2)</f>
        <v/>
      </c>
      <c r="Q285" s="1" t="inlineStr">
        <is>
          <t> </t>
        </is>
      </c>
      <c r="R285" s="1" t="inlineStr">
        <is>
          <t>978-5-386-14823-2</t>
        </is>
      </c>
      <c r="S285" s="1" t="inlineStr">
        <is>
          <t>9785386148232</t>
        </is>
      </c>
      <c r="T285" s="9" t="n">
        <v>10</v>
      </c>
      <c r="U285" s="1">
        <f>ROUNDUP(900*(1-$F$3),2)</f>
        <v/>
      </c>
      <c r="V285" s="1" t="n">
        <v>176</v>
      </c>
      <c r="Y285" s="1" t="inlineStr">
        <is>
          <t>По прихоти короля</t>
        </is>
      </c>
      <c r="Z285" s="1" t="inlineStr">
        <is>
          <t>16+</t>
        </is>
      </c>
      <c r="AA285" s="12" t="n">
        <v>44834</v>
      </c>
      <c r="AB285" s="1" t="inlineStr">
        <is>
          <t>Художественная литература</t>
        </is>
      </c>
      <c r="AC285" s="1" t="inlineStr">
        <is>
          <t>Зарубежная литература</t>
        </is>
      </c>
      <c r="AD285" s="1" t="inlineStr">
        <is>
          <t>Европейская литература</t>
        </is>
      </c>
      <c r="AE285" s="1" t="inlineStr">
        <is>
          <t>офсетная</t>
        </is>
      </c>
      <c r="AG285" s="1" t="n">
        <v>10644990</v>
      </c>
      <c r="AI285" s="1" t="inlineStr">
        <is>
          <t>4901990000</t>
        </is>
      </c>
    </row>
    <row r="286" customFormat="1" s="1">
      <c r="C286" s="1" t="inlineStr">
        <is>
          <t xml:space="preserve">10689210            </t>
        </is>
      </c>
      <c r="D286" s="1" t="inlineStr">
        <is>
          <t>Librarium</t>
        </is>
      </c>
      <c r="E286" s="1" t="inlineStr">
        <is>
          <t>Пространство Эвклида. Петров-Водкин К.С.</t>
        </is>
      </c>
      <c r="F286" s="13" t="inlineStr">
        <is>
          <t>См.обл.</t>
        </is>
      </c>
      <c r="G286" s="1" t="inlineStr">
        <is>
          <t>Петров-Водкин К.С.</t>
        </is>
      </c>
      <c r="H286" s="1" t="inlineStr">
        <is>
          <t>80х100/32</t>
        </is>
      </c>
      <c r="I286" s="1" t="n">
        <v>446</v>
      </c>
      <c r="J286" s="1" t="inlineStr">
        <is>
          <t>РИПОЛ Классик</t>
        </is>
      </c>
      <c r="M286" s="1" t="inlineStr">
        <is>
          <t>2025</t>
        </is>
      </c>
      <c r="N286" s="1" t="inlineStr">
        <is>
          <t>О</t>
        </is>
      </c>
      <c r="O286" s="9" t="n">
        <v>6</v>
      </c>
      <c r="P286" s="1">
        <f>ROUNDUP(990*(1-$F$3),2)</f>
        <v/>
      </c>
      <c r="Q286" s="1" t="inlineStr">
        <is>
          <t> </t>
        </is>
      </c>
      <c r="R286" s="1" t="inlineStr">
        <is>
          <t>978-5-386-14828-7</t>
        </is>
      </c>
      <c r="S286" s="1" t="inlineStr">
        <is>
          <t>9785386148287</t>
        </is>
      </c>
      <c r="T286" s="9" t="n">
        <v>10</v>
      </c>
      <c r="U286" s="1">
        <f>ROUNDUP(900*(1-$F$3),2)</f>
        <v/>
      </c>
      <c r="V286" s="1" t="n">
        <v>293</v>
      </c>
      <c r="Y286" s="1" t="inlineStr">
        <is>
          <t>Пространство Эвклида</t>
        </is>
      </c>
      <c r="Z286" s="1" t="inlineStr">
        <is>
          <t>16+</t>
        </is>
      </c>
      <c r="AA286" s="12" t="n">
        <v>44865</v>
      </c>
      <c r="AB286" s="1" t="inlineStr">
        <is>
          <t>Художественно-документальная проза</t>
        </is>
      </c>
      <c r="AC286" s="1" t="inlineStr">
        <is>
          <t>Биографии. Мемуары</t>
        </is>
      </c>
      <c r="AD286" s="1" t="inlineStr">
        <is>
          <t>Биографии деятелей культуры и искусства</t>
        </is>
      </c>
      <c r="AE286" s="1" t="inlineStr">
        <is>
          <t>офсетная</t>
        </is>
      </c>
      <c r="AG286" s="1" t="n">
        <v>10689210</v>
      </c>
      <c r="AI286" s="1" t="inlineStr">
        <is>
          <t>4901990000</t>
        </is>
      </c>
    </row>
    <row r="287" customFormat="1" s="1">
      <c r="C287" s="1" t="inlineStr">
        <is>
          <t xml:space="preserve">9671350             </t>
        </is>
      </c>
      <c r="D287" s="1" t="inlineStr">
        <is>
          <t>Librarium</t>
        </is>
      </c>
      <c r="E287" s="1" t="inlineStr">
        <is>
          <t>Путешествие Пилигрима в Небесную Страну. Беньян Дж.</t>
        </is>
      </c>
      <c r="F287" s="13" t="inlineStr">
        <is>
          <t>См.обл.</t>
        </is>
      </c>
      <c r="G287" s="1" t="inlineStr">
        <is>
          <t>Беньян Дж.</t>
        </is>
      </c>
      <c r="H287" s="1" t="inlineStr">
        <is>
          <t>80х100/32</t>
        </is>
      </c>
      <c r="I287" s="1" t="n">
        <v>440</v>
      </c>
      <c r="J287" s="1" t="inlineStr">
        <is>
          <t>РИПОЛ Классик</t>
        </is>
      </c>
      <c r="M287" s="1" t="inlineStr">
        <is>
          <t>2026</t>
        </is>
      </c>
      <c r="N287" s="1" t="inlineStr">
        <is>
          <t>О</t>
        </is>
      </c>
      <c r="O287" s="9" t="n">
        <v>10</v>
      </c>
      <c r="P287" s="1">
        <f>ROUNDUP(890*(1-$F$3),2)</f>
        <v/>
      </c>
      <c r="Q287" s="1" t="inlineStr">
        <is>
          <t> </t>
        </is>
      </c>
      <c r="R287" s="1" t="inlineStr">
        <is>
          <t>978-5-386-14181-3</t>
        </is>
      </c>
      <c r="S287" s="1" t="inlineStr">
        <is>
          <t>9785386141813</t>
        </is>
      </c>
      <c r="T287" s="9" t="n">
        <v>10</v>
      </c>
      <c r="U287" s="1">
        <f>ROUNDUP(809.09*(1-$F$3),2)</f>
        <v/>
      </c>
      <c r="V287" s="1" t="n">
        <v>289</v>
      </c>
      <c r="Y287" s="1" t="inlineStr">
        <is>
          <t>Путешествие Пилигрима в Небесную Страну</t>
        </is>
      </c>
      <c r="Z287" s="1" t="inlineStr">
        <is>
          <t>12+</t>
        </is>
      </c>
      <c r="AA287" s="12" t="n">
        <v>44316</v>
      </c>
      <c r="AB287" s="1" t="inlineStr">
        <is>
          <t>Художественная литература</t>
        </is>
      </c>
      <c r="AC287" s="1" t="inlineStr">
        <is>
          <t>Зарубежная литература</t>
        </is>
      </c>
      <c r="AD287" s="1" t="inlineStr">
        <is>
          <t>Литература Америки и Австралии</t>
        </is>
      </c>
      <c r="AE287" s="1" t="inlineStr">
        <is>
          <t>офсетная</t>
        </is>
      </c>
      <c r="AG287" s="1" t="n">
        <v>9671350</v>
      </c>
      <c r="AI287" s="1" t="inlineStr">
        <is>
          <t>4901990000</t>
        </is>
      </c>
    </row>
    <row r="288" customFormat="1" s="1">
      <c r="C288" s="1" t="inlineStr">
        <is>
          <t xml:space="preserve">10232840            </t>
        </is>
      </c>
      <c r="D288" s="1" t="inlineStr">
        <is>
          <t>Librarium</t>
        </is>
      </c>
      <c r="E288" s="1" t="inlineStr">
        <is>
          <t>Русский символизм. Эллис</t>
        </is>
      </c>
      <c r="F288" s="13" t="inlineStr">
        <is>
          <t>См.обл.</t>
        </is>
      </c>
      <c r="G288" s="1" t="inlineStr">
        <is>
          <t>Эллис</t>
        </is>
      </c>
      <c r="H288" s="1" t="inlineStr">
        <is>
          <t>80х100/32</t>
        </is>
      </c>
      <c r="I288" s="1" t="n">
        <v>416</v>
      </c>
      <c r="J288" s="1" t="inlineStr">
        <is>
          <t>РИПОЛ Классик</t>
        </is>
      </c>
      <c r="M288" s="1" t="inlineStr">
        <is>
          <t>2026</t>
        </is>
      </c>
      <c r="N288" s="1" t="inlineStr">
        <is>
          <t>О</t>
        </is>
      </c>
      <c r="O288" s="9" t="n">
        <v>10</v>
      </c>
      <c r="P288" s="1">
        <f>ROUNDUP(750*(1-$F$3),2)</f>
        <v/>
      </c>
      <c r="Q288" s="1" t="inlineStr">
        <is>
          <t> </t>
        </is>
      </c>
      <c r="R288" s="1" t="inlineStr">
        <is>
          <t>978-5-386-14668-9</t>
        </is>
      </c>
      <c r="S288" s="1" t="inlineStr">
        <is>
          <t>9785386146689</t>
        </is>
      </c>
      <c r="T288" s="9" t="n">
        <v>10</v>
      </c>
      <c r="U288" s="1">
        <f>ROUNDUP(681.82*(1-$F$3),2)</f>
        <v/>
      </c>
      <c r="V288" s="1" t="n">
        <v>273</v>
      </c>
      <c r="Y288" s="1" t="inlineStr">
        <is>
          <t>Русский символизм</t>
        </is>
      </c>
      <c r="Z288" s="1" t="inlineStr">
        <is>
          <t>12+</t>
        </is>
      </c>
      <c r="AA288" s="12" t="n">
        <v>44704</v>
      </c>
      <c r="AB288" s="1" t="inlineStr">
        <is>
          <t>Гуманитарные науки</t>
        </is>
      </c>
      <c r="AC288" s="1" t="inlineStr">
        <is>
          <t>Литературоведение</t>
        </is>
      </c>
      <c r="AD288" s="1" t="inlineStr">
        <is>
          <t>Общее литературоведение. История литературы</t>
        </is>
      </c>
      <c r="AE288" s="1" t="inlineStr">
        <is>
          <t>офсетная</t>
        </is>
      </c>
      <c r="AG288" s="1" t="n">
        <v>10232840</v>
      </c>
      <c r="AI288" s="1" t="inlineStr">
        <is>
          <t>4901990000</t>
        </is>
      </c>
    </row>
    <row r="289" customFormat="1" s="1">
      <c r="C289" s="1" t="inlineStr">
        <is>
          <t xml:space="preserve">10748470            </t>
        </is>
      </c>
      <c r="D289" s="1" t="inlineStr">
        <is>
          <t>Librarium</t>
        </is>
      </c>
      <c r="E289" s="1" t="inlineStr">
        <is>
          <t>Село Степанчиково и его обитатели. Достоевский Ф.М.</t>
        </is>
      </c>
      <c r="F289" s="13" t="inlineStr">
        <is>
          <t>См.обл.</t>
        </is>
      </c>
      <c r="G289" s="1" t="inlineStr">
        <is>
          <t>Достоевский Ф.М.</t>
        </is>
      </c>
      <c r="H289" s="1" t="inlineStr">
        <is>
          <t>80х100/32</t>
        </is>
      </c>
      <c r="I289" s="1" t="n">
        <v>352</v>
      </c>
      <c r="J289" s="1" t="inlineStr">
        <is>
          <t>РИПОЛ Классик</t>
        </is>
      </c>
      <c r="M289" s="1" t="inlineStr">
        <is>
          <t>2026</t>
        </is>
      </c>
      <c r="N289" s="1" t="inlineStr">
        <is>
          <t>О</t>
        </is>
      </c>
      <c r="O289" s="9" t="n">
        <v>12</v>
      </c>
      <c r="P289" s="1">
        <f>ROUNDUP(989.2*(1-$F$3),2)</f>
        <v/>
      </c>
      <c r="Q289" s="1" t="inlineStr">
        <is>
          <t> </t>
        </is>
      </c>
      <c r="R289" s="1" t="inlineStr">
        <is>
          <t>978-5-386-14965-9</t>
        </is>
      </c>
      <c r="S289" s="1" t="inlineStr">
        <is>
          <t>9785386149659</t>
        </is>
      </c>
      <c r="T289" s="9" t="n">
        <v>10</v>
      </c>
      <c r="U289" s="1">
        <f>ROUNDUP(899.27*(1-$F$3),2)</f>
        <v/>
      </c>
      <c r="V289" s="1" t="n">
        <v>266</v>
      </c>
      <c r="Y289" s="1" t="inlineStr">
        <is>
          <t>Село Степанчиково и его обитатели</t>
        </is>
      </c>
      <c r="Z289" s="1" t="inlineStr">
        <is>
          <t>12+</t>
        </is>
      </c>
      <c r="AA289" s="12" t="n">
        <v>44904</v>
      </c>
      <c r="AB289" s="1" t="inlineStr">
        <is>
          <t>Художественная литература</t>
        </is>
      </c>
      <c r="AC289" s="1" t="inlineStr">
        <is>
          <t>Русская литература</t>
        </is>
      </c>
      <c r="AD289" s="1" t="inlineStr">
        <is>
          <t>Русская литература XVIII-нач. XX вв. (до 1917 г.)</t>
        </is>
      </c>
      <c r="AE289" s="1" t="inlineStr">
        <is>
          <t>офсетная</t>
        </is>
      </c>
      <c r="AG289" s="1" t="n">
        <v>10748470</v>
      </c>
      <c r="AI289" s="1" t="inlineStr">
        <is>
          <t>4901990000</t>
        </is>
      </c>
    </row>
    <row r="290" customFormat="1" s="1">
      <c r="C290" s="1" t="inlineStr">
        <is>
          <t xml:space="preserve">9735270             </t>
        </is>
      </c>
      <c r="D290" s="1" t="inlineStr">
        <is>
          <t>Librarium</t>
        </is>
      </c>
      <c r="E290" s="1" t="inlineStr">
        <is>
          <t>Сказания древней Японии. Сандзин Садзанами</t>
        </is>
      </c>
      <c r="F290" s="13" t="inlineStr">
        <is>
          <t>См.обл.</t>
        </is>
      </c>
      <c r="G290" s="1" t="inlineStr">
        <is>
          <t>Сандзин Садзанами</t>
        </is>
      </c>
      <c r="H290" s="1" t="inlineStr">
        <is>
          <t>80х100/32</t>
        </is>
      </c>
      <c r="I290" s="1" t="n">
        <v>330</v>
      </c>
      <c r="J290" s="1" t="inlineStr">
        <is>
          <t>РИПОЛ Классик</t>
        </is>
      </c>
      <c r="M290" s="1" t="inlineStr">
        <is>
          <t>2026</t>
        </is>
      </c>
      <c r="N290" s="1" t="inlineStr">
        <is>
          <t>О</t>
        </is>
      </c>
      <c r="O290" s="9" t="n">
        <v>12</v>
      </c>
      <c r="P290" s="1">
        <f>ROUNDUP(750*(1-$F$3),2)</f>
        <v/>
      </c>
      <c r="Q290" s="1" t="inlineStr">
        <is>
          <t> </t>
        </is>
      </c>
      <c r="R290" s="1" t="inlineStr">
        <is>
          <t>978-5-386-14338-1</t>
        </is>
      </c>
      <c r="S290" s="1" t="inlineStr">
        <is>
          <t>9785386143381</t>
        </is>
      </c>
      <c r="T290" s="9" t="n">
        <v>10</v>
      </c>
      <c r="U290" s="1">
        <f>ROUNDUP(681.82*(1-$F$3),2)</f>
        <v/>
      </c>
      <c r="V290" s="1" t="n">
        <v>221</v>
      </c>
      <c r="Y290" s="1" t="inlineStr">
        <is>
          <t>Сказания древней Японии</t>
        </is>
      </c>
      <c r="Z290" s="1" t="inlineStr">
        <is>
          <t>12+</t>
        </is>
      </c>
      <c r="AA290" s="12" t="n">
        <v>44473</v>
      </c>
      <c r="AB290" s="1" t="inlineStr">
        <is>
          <t>Художественная литература</t>
        </is>
      </c>
      <c r="AC290" s="1" t="inlineStr">
        <is>
          <t>Фольклор</t>
        </is>
      </c>
      <c r="AD290" s="1" t="inlineStr">
        <is>
          <t>Мифы. Легенды. Эпос</t>
        </is>
      </c>
      <c r="AE290" s="1" t="inlineStr">
        <is>
          <t>офсетная</t>
        </is>
      </c>
      <c r="AG290" s="1" t="n">
        <v>9735270</v>
      </c>
      <c r="AI290" s="1" t="inlineStr">
        <is>
          <t>4901990000</t>
        </is>
      </c>
    </row>
    <row r="291" customFormat="1" s="1">
      <c r="C291" s="1" t="inlineStr">
        <is>
          <t xml:space="preserve">9859450             </t>
        </is>
      </c>
      <c r="D291" s="1" t="inlineStr">
        <is>
          <t>Librarium</t>
        </is>
      </c>
      <c r="E291" s="1" t="inlineStr">
        <is>
          <t>Сказания о Христе. Лагерлеф С.</t>
        </is>
      </c>
      <c r="F291" s="13" t="inlineStr">
        <is>
          <t>См.обл.</t>
        </is>
      </c>
      <c r="G291" s="1" t="inlineStr">
        <is>
          <t>Лагерлеф С.</t>
        </is>
      </c>
      <c r="H291" s="1" t="inlineStr">
        <is>
          <t>80х100/32</t>
        </is>
      </c>
      <c r="I291" s="1" t="n">
        <v>296</v>
      </c>
      <c r="J291" s="1" t="inlineStr">
        <is>
          <t>РИПОЛ Классик</t>
        </is>
      </c>
      <c r="M291" s="1" t="inlineStr">
        <is>
          <t>2026</t>
        </is>
      </c>
      <c r="N291" s="1" t="inlineStr">
        <is>
          <t>О</t>
        </is>
      </c>
      <c r="O291" s="9" t="n">
        <v>14</v>
      </c>
      <c r="P291" s="1">
        <f>ROUNDUP(950*(1-$F$3),2)</f>
        <v/>
      </c>
      <c r="Q291" s="1" t="inlineStr">
        <is>
          <t> </t>
        </is>
      </c>
      <c r="R291" s="1" t="inlineStr">
        <is>
          <t>978-5-386-14415-9</t>
        </is>
      </c>
      <c r="S291" s="1" t="inlineStr">
        <is>
          <t>9785386144159</t>
        </is>
      </c>
      <c r="T291" s="9" t="n">
        <v>10</v>
      </c>
      <c r="U291" s="1">
        <f>ROUNDUP(863.64*(1-$F$3),2)</f>
        <v/>
      </c>
      <c r="V291" s="1" t="n">
        <v>198</v>
      </c>
      <c r="Y291" s="1" t="inlineStr">
        <is>
          <t>Сказания о Христе</t>
        </is>
      </c>
      <c r="Z291" s="1" t="inlineStr">
        <is>
          <t>12+</t>
        </is>
      </c>
      <c r="AA291" s="12" t="n">
        <v>44445</v>
      </c>
      <c r="AB291" s="1" t="inlineStr">
        <is>
          <t>Детская литература</t>
        </is>
      </c>
      <c r="AC291" s="1" t="inlineStr">
        <is>
          <t>Познавательная литература для детей</t>
        </is>
      </c>
      <c r="AD291" s="1" t="inlineStr">
        <is>
          <t>Религиозная литература для детей</t>
        </is>
      </c>
      <c r="AE291" s="1" t="inlineStr">
        <is>
          <t>офсетная</t>
        </is>
      </c>
      <c r="AG291" s="1" t="n">
        <v>9859450</v>
      </c>
      <c r="AI291" s="1" t="inlineStr">
        <is>
          <t>4901990000</t>
        </is>
      </c>
    </row>
    <row r="292" customFormat="1" s="1">
      <c r="C292" s="1" t="inlineStr">
        <is>
          <t xml:space="preserve">9972380             </t>
        </is>
      </c>
      <c r="D292" s="1" t="inlineStr">
        <is>
          <t>Librarium</t>
        </is>
      </c>
      <c r="E292" s="1" t="inlineStr">
        <is>
          <t>Смысл любви. Соловьев В.</t>
        </is>
      </c>
      <c r="F292" s="13" t="inlineStr">
        <is>
          <t>См.обл.</t>
        </is>
      </c>
      <c r="G292" s="1" t="inlineStr">
        <is>
          <t>Соловьев В.</t>
        </is>
      </c>
      <c r="H292" s="1" t="inlineStr">
        <is>
          <t>80х100/32</t>
        </is>
      </c>
      <c r="I292" s="1" t="n">
        <v>400</v>
      </c>
      <c r="J292" s="1" t="inlineStr">
        <is>
          <t>РИПОЛ Классик</t>
        </is>
      </c>
      <c r="M292" s="1" t="inlineStr">
        <is>
          <t>2026</t>
        </is>
      </c>
      <c r="N292" s="1" t="inlineStr">
        <is>
          <t>О</t>
        </is>
      </c>
      <c r="O292" s="9" t="n">
        <v>4</v>
      </c>
      <c r="P292" s="1">
        <f>ROUNDUP(990*(1-$F$3),2)</f>
        <v/>
      </c>
      <c r="Q292" s="1" t="inlineStr">
        <is>
          <t> </t>
        </is>
      </c>
      <c r="R292" s="1" t="inlineStr">
        <is>
          <t>978-5-386-14563-7</t>
        </is>
      </c>
      <c r="S292" s="1" t="inlineStr">
        <is>
          <t>9785386145637</t>
        </is>
      </c>
      <c r="T292" s="9" t="n">
        <v>10</v>
      </c>
      <c r="U292" s="1">
        <f>ROUNDUP(900*(1-$F$3),2)</f>
        <v/>
      </c>
      <c r="V292" s="1" t="n">
        <v>245</v>
      </c>
      <c r="Y292" s="1" t="inlineStr">
        <is>
          <t>Смысл любви</t>
        </is>
      </c>
      <c r="Z292" s="1" t="inlineStr">
        <is>
          <t>16+</t>
        </is>
      </c>
      <c r="AA292" s="12" t="n">
        <v>44572</v>
      </c>
      <c r="AB292" s="1" t="inlineStr">
        <is>
          <t>Гуманитарные науки</t>
        </is>
      </c>
      <c r="AC292" s="1" t="inlineStr">
        <is>
          <t>Философские науки</t>
        </is>
      </c>
      <c r="AD292" s="1" t="inlineStr">
        <is>
          <t>Философия в целом. Труды</t>
        </is>
      </c>
      <c r="AE292" s="1" t="inlineStr">
        <is>
          <t>офсетная</t>
        </is>
      </c>
      <c r="AG292" s="1" t="n">
        <v>9972380</v>
      </c>
      <c r="AI292" s="1" t="inlineStr">
        <is>
          <t>4901990000</t>
        </is>
      </c>
    </row>
    <row r="293" customFormat="1" s="1">
      <c r="C293" s="1" t="inlineStr">
        <is>
          <t xml:space="preserve">9667150             </t>
        </is>
      </c>
      <c r="D293" s="1" t="inlineStr">
        <is>
          <t>Librarium</t>
        </is>
      </c>
      <c r="E293" s="1" t="inlineStr">
        <is>
          <t>Солнце мертвых. Шмелев И.С.</t>
        </is>
      </c>
      <c r="F293" s="13" t="inlineStr">
        <is>
          <t>См.обл.</t>
        </is>
      </c>
      <c r="G293" s="1" t="inlineStr">
        <is>
          <t>Шмелев И.С.</t>
        </is>
      </c>
      <c r="H293" s="1" t="inlineStr">
        <is>
          <t>80х100/32</t>
        </is>
      </c>
      <c r="I293" s="1" t="n">
        <v>324</v>
      </c>
      <c r="J293" s="1" t="inlineStr">
        <is>
          <t>РИПОЛ Классик</t>
        </is>
      </c>
      <c r="M293" s="1" t="inlineStr">
        <is>
          <t>2026</t>
        </is>
      </c>
      <c r="N293" s="1" t="inlineStr">
        <is>
          <t>О</t>
        </is>
      </c>
      <c r="O293" s="9" t="n">
        <v>12</v>
      </c>
      <c r="P293" s="1">
        <f>ROUNDUP(750*(1-$F$3),2)</f>
        <v/>
      </c>
      <c r="Q293" s="1" t="inlineStr">
        <is>
          <t> </t>
        </is>
      </c>
      <c r="R293" s="1" t="inlineStr">
        <is>
          <t>978-5-386-14170-7</t>
        </is>
      </c>
      <c r="S293" s="1" t="inlineStr">
        <is>
          <t>9785386141707</t>
        </is>
      </c>
      <c r="T293" s="9" t="n">
        <v>10</v>
      </c>
      <c r="U293" s="1">
        <f>ROUNDUP(681.82*(1-$F$3),2)</f>
        <v/>
      </c>
      <c r="V293" s="1" t="n">
        <v>239</v>
      </c>
      <c r="Y293" s="1" t="inlineStr">
        <is>
          <t>Солнце мертвых</t>
        </is>
      </c>
      <c r="Z293" s="1" t="inlineStr">
        <is>
          <t>16+</t>
        </is>
      </c>
      <c r="AA293" s="12" t="n">
        <v>44316</v>
      </c>
      <c r="AB293" s="1" t="inlineStr">
        <is>
          <t>Художественная литература</t>
        </is>
      </c>
      <c r="AC293" s="1" t="inlineStr">
        <is>
          <t>Русская литература</t>
        </is>
      </c>
      <c r="AD293" s="1" t="inlineStr">
        <is>
          <t>Литература русского зарубежья (1917-1990 гг.)</t>
        </is>
      </c>
      <c r="AE293" s="1" t="inlineStr">
        <is>
          <t>офсетная</t>
        </is>
      </c>
      <c r="AG293" s="1" t="n">
        <v>9667150</v>
      </c>
      <c r="AI293" s="1" t="inlineStr">
        <is>
          <t>4901990000</t>
        </is>
      </c>
    </row>
    <row r="294" customFormat="1" s="1">
      <c r="C294" s="1" t="inlineStr">
        <is>
          <t xml:space="preserve">10419910            </t>
        </is>
      </c>
      <c r="D294" s="1" t="inlineStr">
        <is>
          <t>Librarium</t>
        </is>
      </c>
      <c r="E294" s="1" t="inlineStr">
        <is>
          <t>Стихотворения. Дмитриева Е. (Черубина де Габриак)</t>
        </is>
      </c>
      <c r="F294" s="13" t="inlineStr">
        <is>
          <t>См.обл.</t>
        </is>
      </c>
      <c r="G294" s="1" t="inlineStr">
        <is>
          <t>Дмитриева Е. (Черубина де Габриак)</t>
        </is>
      </c>
      <c r="H294" s="1" t="inlineStr">
        <is>
          <t>80х100/32</t>
        </is>
      </c>
      <c r="I294" s="1" t="n">
        <v>284</v>
      </c>
      <c r="J294" s="1" t="inlineStr">
        <is>
          <t>РИПОЛ Классик</t>
        </is>
      </c>
      <c r="M294" s="1" t="inlineStr">
        <is>
          <t>2026</t>
        </is>
      </c>
      <c r="N294" s="1" t="inlineStr">
        <is>
          <t>О</t>
        </is>
      </c>
      <c r="O294" s="9" t="n">
        <v>8</v>
      </c>
      <c r="P294" s="1">
        <f>ROUNDUP(887.4*(1-$F$3),2)</f>
        <v/>
      </c>
      <c r="Q294" s="1" t="inlineStr">
        <is>
          <t> </t>
        </is>
      </c>
      <c r="R294" s="1" t="inlineStr">
        <is>
          <t>978-5-386-14773-0</t>
        </is>
      </c>
      <c r="S294" s="1" t="inlineStr">
        <is>
          <t>9785386147730</t>
        </is>
      </c>
      <c r="T294" s="9" t="n">
        <v>10</v>
      </c>
      <c r="U294" s="1">
        <f>ROUNDUP(806.73*(1-$F$3),2)</f>
        <v/>
      </c>
      <c r="V294" s="1" t="n">
        <v>189</v>
      </c>
      <c r="Y294" s="1" t="inlineStr">
        <is>
          <t>Стихотворения</t>
        </is>
      </c>
      <c r="Z294" s="1" t="inlineStr">
        <is>
          <t>16+</t>
        </is>
      </c>
      <c r="AA294" s="12" t="n">
        <v>44676</v>
      </c>
      <c r="AB294" s="1" t="inlineStr">
        <is>
          <t>Художественная литература</t>
        </is>
      </c>
      <c r="AC294" s="1" t="inlineStr">
        <is>
          <t>Поэзия</t>
        </is>
      </c>
      <c r="AD294" s="1" t="inlineStr">
        <is>
          <t>Русская поэзия</t>
        </is>
      </c>
      <c r="AE294" s="1" t="inlineStr">
        <is>
          <t>офсетная</t>
        </is>
      </c>
      <c r="AG294" s="1" t="n">
        <v>10419910</v>
      </c>
      <c r="AI294" s="1" t="inlineStr">
        <is>
          <t>4901990000</t>
        </is>
      </c>
    </row>
    <row r="295" customFormat="1" s="1">
      <c r="C295" s="1" t="inlineStr">
        <is>
          <t xml:space="preserve">9563190             </t>
        </is>
      </c>
      <c r="D295" s="1" t="inlineStr">
        <is>
          <t>Librarium</t>
        </is>
      </c>
      <c r="E295" s="1" t="inlineStr">
        <is>
          <t>Так говорил Заратустра. Ницше Ф.В.</t>
        </is>
      </c>
      <c r="F295" s="13" t="inlineStr">
        <is>
          <t>См.обл.</t>
        </is>
      </c>
      <c r="G295" s="1" t="inlineStr">
        <is>
          <t>Ницше Ф.В.</t>
        </is>
      </c>
      <c r="H295" s="1" t="inlineStr">
        <is>
          <t>80х100/32</t>
        </is>
      </c>
      <c r="I295" s="1" t="n">
        <v>462</v>
      </c>
      <c r="J295" s="1" t="inlineStr">
        <is>
          <t>РИПОЛ Классик</t>
        </is>
      </c>
      <c r="M295" s="1" t="inlineStr">
        <is>
          <t>2026</t>
        </is>
      </c>
      <c r="N295" s="1" t="inlineStr">
        <is>
          <t>О</t>
        </is>
      </c>
      <c r="O295" s="9" t="n">
        <v>8</v>
      </c>
      <c r="P295" s="1">
        <f>ROUNDUP(790*(1-$F$3),2)</f>
        <v/>
      </c>
      <c r="Q295" s="1" t="inlineStr">
        <is>
          <t> </t>
        </is>
      </c>
      <c r="R295" s="1" t="inlineStr">
        <is>
          <t>978-5-386-13862-2</t>
        </is>
      </c>
      <c r="S295" s="1" t="inlineStr">
        <is>
          <t>9785386138622</t>
        </is>
      </c>
      <c r="T295" s="9" t="n">
        <v>10</v>
      </c>
      <c r="U295" s="1">
        <f>ROUNDUP(718.18*(1-$F$3),2)</f>
        <v/>
      </c>
      <c r="V295" s="1" t="n">
        <v>335</v>
      </c>
      <c r="Y295" s="1" t="inlineStr">
        <is>
          <t>Так говорил Заратустра</t>
        </is>
      </c>
      <c r="Z295" s="1" t="inlineStr">
        <is>
          <t>16+</t>
        </is>
      </c>
      <c r="AA295" s="12" t="n">
        <v>44144</v>
      </c>
      <c r="AB295" s="1" t="inlineStr">
        <is>
          <t>Гуманитарные науки</t>
        </is>
      </c>
      <c r="AC295" s="1" t="inlineStr">
        <is>
          <t>Философские науки</t>
        </is>
      </c>
      <c r="AD295" s="1" t="inlineStr">
        <is>
          <t>Философия в целом. Труды</t>
        </is>
      </c>
      <c r="AE295" s="1" t="inlineStr">
        <is>
          <t>офсетная</t>
        </is>
      </c>
      <c r="AG295" s="1" t="n">
        <v>9563190</v>
      </c>
      <c r="AI295" s="1" t="inlineStr">
        <is>
          <t>4901990000</t>
        </is>
      </c>
    </row>
    <row r="296" customFormat="1" s="1">
      <c r="C296" s="1" t="inlineStr">
        <is>
          <t xml:space="preserve">9942710             </t>
        </is>
      </c>
      <c r="D296" s="1" t="inlineStr">
        <is>
          <t>Librarium</t>
        </is>
      </c>
      <c r="E296" s="1" t="inlineStr">
        <is>
          <t>Там, внизу, или Бездна. Гюисманс Ж.-К.</t>
        </is>
      </c>
      <c r="F296" s="13" t="inlineStr">
        <is>
          <t>См.обл.</t>
        </is>
      </c>
      <c r="G296" s="1" t="inlineStr">
        <is>
          <t>Гюисманс Ж.-К.</t>
        </is>
      </c>
      <c r="H296" s="1" t="inlineStr">
        <is>
          <t>80х100/32</t>
        </is>
      </c>
      <c r="I296" s="1" t="n">
        <v>366</v>
      </c>
      <c r="J296" s="1" t="inlineStr">
        <is>
          <t>РИПОЛ Классик</t>
        </is>
      </c>
      <c r="M296" s="1" t="inlineStr">
        <is>
          <t>2026</t>
        </is>
      </c>
      <c r="N296" s="1" t="inlineStr">
        <is>
          <t>О</t>
        </is>
      </c>
      <c r="O296" s="9" t="n">
        <v>10</v>
      </c>
      <c r="P296" s="1">
        <f>ROUNDUP(750*(1-$F$3),2)</f>
        <v/>
      </c>
      <c r="Q296" s="1" t="inlineStr">
        <is>
          <t> </t>
        </is>
      </c>
      <c r="R296" s="1" t="inlineStr">
        <is>
          <t>978-5-386-14538-5</t>
        </is>
      </c>
      <c r="S296" s="1" t="inlineStr">
        <is>
          <t>9785386145385</t>
        </is>
      </c>
      <c r="T296" s="9" t="n">
        <v>22</v>
      </c>
      <c r="U296" s="1">
        <f>ROUNDUP(614.75*(1-$F$3),2)</f>
        <v/>
      </c>
      <c r="V296" s="1" t="n">
        <v>256</v>
      </c>
      <c r="Y296" s="1" t="inlineStr">
        <is>
          <t>Там, внизу, или Бездна</t>
        </is>
      </c>
      <c r="Z296" s="1" t="inlineStr">
        <is>
          <t>18+</t>
        </is>
      </c>
      <c r="AA296" s="12" t="n">
        <v>44473</v>
      </c>
      <c r="AB296" s="1" t="inlineStr">
        <is>
          <t>Художественная литература</t>
        </is>
      </c>
      <c r="AC296" s="1" t="inlineStr">
        <is>
          <t>Зарубежная литература</t>
        </is>
      </c>
      <c r="AD296" s="1" t="inlineStr">
        <is>
          <t>Европейская литература</t>
        </is>
      </c>
      <c r="AE296" s="1" t="inlineStr">
        <is>
          <t>офсетная</t>
        </is>
      </c>
      <c r="AG296" s="1" t="n">
        <v>9942710</v>
      </c>
      <c r="AI296" s="1" t="inlineStr">
        <is>
          <t>4901990000</t>
        </is>
      </c>
    </row>
    <row r="297" customFormat="1" s="1">
      <c r="C297" s="1" t="inlineStr">
        <is>
          <t xml:space="preserve">9602490             </t>
        </is>
      </c>
      <c r="D297" s="1" t="inlineStr">
        <is>
          <t>Librarium</t>
        </is>
      </c>
      <c r="E297" s="1" t="inlineStr">
        <is>
          <t>Темные аллеи. Бунин И.А</t>
        </is>
      </c>
      <c r="F297" s="13" t="inlineStr">
        <is>
          <t>См.обл.</t>
        </is>
      </c>
      <c r="G297" s="1" t="inlineStr">
        <is>
          <t>Бунин И.А</t>
        </is>
      </c>
      <c r="H297" s="1" t="inlineStr">
        <is>
          <t>80х100/32</t>
        </is>
      </c>
      <c r="I297" s="1" t="n">
        <v>288</v>
      </c>
      <c r="J297" s="1" t="inlineStr">
        <is>
          <t>РИПОЛ Классик</t>
        </is>
      </c>
      <c r="M297" s="1" t="inlineStr">
        <is>
          <t>2026</t>
        </is>
      </c>
      <c r="N297" s="1" t="inlineStr">
        <is>
          <t>О</t>
        </is>
      </c>
      <c r="O297" s="9" t="n">
        <v>14</v>
      </c>
      <c r="P297" s="1">
        <f>ROUNDUP(750*(1-$F$3),2)</f>
        <v/>
      </c>
      <c r="Q297" s="1" t="inlineStr">
        <is>
          <t> </t>
        </is>
      </c>
      <c r="R297" s="1" t="inlineStr">
        <is>
          <t>978-5-386-13946-9</t>
        </is>
      </c>
      <c r="S297" s="1" t="inlineStr">
        <is>
          <t>9785386139469</t>
        </is>
      </c>
      <c r="T297" s="9" t="n">
        <v>10</v>
      </c>
      <c r="U297" s="1">
        <f>ROUNDUP(681.82*(1-$F$3),2)</f>
        <v/>
      </c>
      <c r="V297" s="1" t="n">
        <v>212</v>
      </c>
      <c r="Y297" s="1" t="inlineStr">
        <is>
          <t>Темные аллеи</t>
        </is>
      </c>
      <c r="Z297" s="1" t="inlineStr">
        <is>
          <t>16+</t>
        </is>
      </c>
      <c r="AA297" s="12" t="n">
        <v>44210</v>
      </c>
      <c r="AB297" s="1" t="inlineStr">
        <is>
          <t>Художественная литература</t>
        </is>
      </c>
      <c r="AC297" s="1" t="inlineStr">
        <is>
          <t>Русская литература</t>
        </is>
      </c>
      <c r="AD297" s="1" t="inlineStr">
        <is>
          <t>Литература русского зарубежья (1917-1990 гг.)</t>
        </is>
      </c>
      <c r="AE297" s="1" t="inlineStr">
        <is>
          <t>офсетная</t>
        </is>
      </c>
      <c r="AG297" s="1" t="n">
        <v>9602490</v>
      </c>
      <c r="AI297" s="1" t="inlineStr">
        <is>
          <t>4901990000</t>
        </is>
      </c>
    </row>
    <row r="298" customFormat="1" s="1">
      <c r="C298" s="1" t="inlineStr">
        <is>
          <t xml:space="preserve">9821490             </t>
        </is>
      </c>
      <c r="D298" s="1" t="inlineStr">
        <is>
          <t>Librarium</t>
        </is>
      </c>
      <c r="E298" s="1" t="inlineStr">
        <is>
          <t>Третья фиалка. Крейн С.</t>
        </is>
      </c>
      <c r="F298" s="13" t="inlineStr">
        <is>
          <t>См.обл.</t>
        </is>
      </c>
      <c r="G298" s="1" t="inlineStr">
        <is>
          <t>Крейн С.</t>
        </is>
      </c>
      <c r="H298" s="1" t="inlineStr">
        <is>
          <t>80х100/32</t>
        </is>
      </c>
      <c r="I298" s="1" t="n">
        <v>212</v>
      </c>
      <c r="J298" s="1" t="inlineStr">
        <is>
          <t>РИПОЛ Классик</t>
        </is>
      </c>
      <c r="M298" s="1" t="inlineStr">
        <is>
          <t>2021</t>
        </is>
      </c>
      <c r="N298" s="1" t="inlineStr">
        <is>
          <t>О</t>
        </is>
      </c>
      <c r="O298" s="9" t="n">
        <v>18</v>
      </c>
      <c r="P298" s="1">
        <f>ROUNDUP(750*(1-$F$3),2)</f>
        <v/>
      </c>
      <c r="Q298" s="1" t="inlineStr">
        <is>
          <t> </t>
        </is>
      </c>
      <c r="R298" s="1" t="inlineStr">
        <is>
          <t>978-5-386-14500-2</t>
        </is>
      </c>
      <c r="S298" s="1" t="inlineStr">
        <is>
          <t>9785386145002</t>
        </is>
      </c>
      <c r="T298" s="9" t="n">
        <v>10</v>
      </c>
      <c r="U298" s="1">
        <f>ROUNDUP(681.82*(1-$F$3),2)</f>
        <v/>
      </c>
      <c r="V298" s="1" t="n">
        <v>164</v>
      </c>
      <c r="Y298" s="1" t="inlineStr">
        <is>
          <t>Третья фиалка</t>
        </is>
      </c>
      <c r="Z298" s="1" t="inlineStr">
        <is>
          <t>16+</t>
        </is>
      </c>
      <c r="AA298" s="12" t="n">
        <v>44445</v>
      </c>
      <c r="AB298" s="1" t="inlineStr">
        <is>
          <t>Художественная литература</t>
        </is>
      </c>
      <c r="AC298" s="1" t="inlineStr">
        <is>
          <t>Сентиментальная проза</t>
        </is>
      </c>
      <c r="AD298" s="1" t="inlineStr">
        <is>
          <t>Зарубежный сентиментальный роман</t>
        </is>
      </c>
      <c r="AE298" s="1" t="inlineStr">
        <is>
          <t>офсетная</t>
        </is>
      </c>
      <c r="AG298" s="1" t="n">
        <v>9821490</v>
      </c>
      <c r="AI298" s="1" t="inlineStr">
        <is>
          <t>4901990000</t>
        </is>
      </c>
    </row>
    <row r="299" customFormat="1" s="1">
      <c r="C299" s="1" t="inlineStr">
        <is>
          <t xml:space="preserve">10011860            </t>
        </is>
      </c>
      <c r="D299" s="1" t="inlineStr">
        <is>
          <t>Librarium</t>
        </is>
      </c>
      <c r="E299" s="1" t="inlineStr">
        <is>
          <t>Тьма. Андреев Л.</t>
        </is>
      </c>
      <c r="F299" s="13" t="inlineStr">
        <is>
          <t>См.обл.</t>
        </is>
      </c>
      <c r="G299" s="1" t="inlineStr">
        <is>
          <t>Андреев Л.</t>
        </is>
      </c>
      <c r="H299" s="1" t="inlineStr">
        <is>
          <t>80х100/32</t>
        </is>
      </c>
      <c r="I299" s="1" t="n">
        <v>206</v>
      </c>
      <c r="J299" s="1" t="inlineStr">
        <is>
          <t>РИПОЛ Классик</t>
        </is>
      </c>
      <c r="M299" s="1" t="inlineStr">
        <is>
          <t>2026</t>
        </is>
      </c>
      <c r="N299" s="1" t="inlineStr">
        <is>
          <t>О</t>
        </is>
      </c>
      <c r="O299" s="9" t="n">
        <v>20</v>
      </c>
      <c r="P299" s="1">
        <f>ROUNDUP(722.4*(1-$F$3),2)</f>
        <v/>
      </c>
      <c r="Q299" s="1" t="inlineStr">
        <is>
          <t> </t>
        </is>
      </c>
      <c r="R299" s="1" t="inlineStr">
        <is>
          <t>978-5-386-14585-9</t>
        </is>
      </c>
      <c r="S299" s="1" t="inlineStr">
        <is>
          <t>9785386145859</t>
        </is>
      </c>
      <c r="T299" s="9" t="n">
        <v>10</v>
      </c>
      <c r="U299" s="1">
        <f>ROUNDUP(656.73*(1-$F$3),2)</f>
        <v/>
      </c>
      <c r="V299" s="1" t="n">
        <v>141</v>
      </c>
      <c r="Y299" s="1" t="inlineStr">
        <is>
          <t>Тьма</t>
        </is>
      </c>
      <c r="Z299" s="1" t="inlineStr">
        <is>
          <t>16+</t>
        </is>
      </c>
      <c r="AA299" s="12" t="n">
        <v>44592</v>
      </c>
      <c r="AB299" s="1" t="inlineStr">
        <is>
          <t>Художественная литература</t>
        </is>
      </c>
      <c r="AC299" s="1" t="inlineStr">
        <is>
          <t>Русская литература</t>
        </is>
      </c>
      <c r="AD299" s="1" t="inlineStr">
        <is>
          <t>Русская литература XVIII-нач. XX вв. (до 1917 г.)</t>
        </is>
      </c>
      <c r="AE299" s="1" t="inlineStr">
        <is>
          <t>офсетная</t>
        </is>
      </c>
      <c r="AG299" s="1" t="n">
        <v>10011860</v>
      </c>
      <c r="AI299" s="1" t="inlineStr">
        <is>
          <t>4901990000</t>
        </is>
      </c>
    </row>
    <row r="300" customFormat="1" s="1">
      <c r="C300" s="1" t="inlineStr">
        <is>
          <t xml:space="preserve">9793830             </t>
        </is>
      </c>
      <c r="D300" s="1" t="inlineStr">
        <is>
          <t>Librarium</t>
        </is>
      </c>
      <c r="E300" s="1" t="inlineStr">
        <is>
          <t>Уолден, или Жизнь в лесу. Торо Г.Д.</t>
        </is>
      </c>
      <c r="F300" s="13" t="inlineStr">
        <is>
          <t>См.обл.</t>
        </is>
      </c>
      <c r="G300" s="1" t="inlineStr">
        <is>
          <t>Торо Г.Д.</t>
        </is>
      </c>
      <c r="H300" s="1" t="inlineStr">
        <is>
          <t>80х100/32</t>
        </is>
      </c>
      <c r="I300" s="1" t="n">
        <v>544</v>
      </c>
      <c r="J300" s="1" t="inlineStr">
        <is>
          <t>РИПОЛ Классик</t>
        </is>
      </c>
      <c r="M300" s="1" t="inlineStr">
        <is>
          <t>2025</t>
        </is>
      </c>
      <c r="N300" s="1" t="inlineStr">
        <is>
          <t>О</t>
        </is>
      </c>
      <c r="O300" s="9" t="n">
        <v>3</v>
      </c>
      <c r="P300" s="1">
        <f>ROUNDUP(990*(1-$F$3),2)</f>
        <v/>
      </c>
      <c r="Q300" s="1" t="inlineStr">
        <is>
          <t> </t>
        </is>
      </c>
      <c r="R300" s="1" t="inlineStr">
        <is>
          <t>978-5-386-14414-2</t>
        </is>
      </c>
      <c r="S300" s="1" t="inlineStr">
        <is>
          <t>9785386144142</t>
        </is>
      </c>
      <c r="T300" s="9" t="n">
        <v>10</v>
      </c>
      <c r="U300" s="1">
        <f>ROUNDUP(900*(1-$F$3),2)</f>
        <v/>
      </c>
      <c r="V300" s="1" t="n">
        <v>398</v>
      </c>
      <c r="Y300" s="1" t="inlineStr">
        <is>
          <t>Уолден, или Жизнь в лесу</t>
        </is>
      </c>
      <c r="Z300" s="1" t="inlineStr">
        <is>
          <t>16+</t>
        </is>
      </c>
      <c r="AA300" s="12" t="n">
        <v>44476</v>
      </c>
      <c r="AB300" s="1" t="inlineStr">
        <is>
          <t>Художественная литература</t>
        </is>
      </c>
      <c r="AC300" s="1" t="inlineStr">
        <is>
          <t>Зарубежная литература</t>
        </is>
      </c>
      <c r="AD300" s="1" t="inlineStr">
        <is>
          <t>Литература Америки и Австралии</t>
        </is>
      </c>
      <c r="AE300" s="1" t="inlineStr">
        <is>
          <t>офсетная</t>
        </is>
      </c>
      <c r="AG300" s="1" t="n">
        <v>9793830</v>
      </c>
      <c r="AI300" s="1" t="inlineStr">
        <is>
          <t>4901990000</t>
        </is>
      </c>
    </row>
    <row r="301" customFormat="1" s="1">
      <c r="C301" s="1" t="inlineStr">
        <is>
          <t xml:space="preserve">8652070             </t>
        </is>
      </c>
      <c r="D301" s="1" t="inlineStr">
        <is>
          <t>Librarium</t>
        </is>
      </c>
      <c r="E301" s="1" t="inlineStr">
        <is>
          <t>Утехи и дни. Пруст М</t>
        </is>
      </c>
      <c r="F301" s="13" t="inlineStr">
        <is>
          <t>См.обл.</t>
        </is>
      </c>
      <c r="G301" s="1" t="inlineStr">
        <is>
          <t>Пруст М</t>
        </is>
      </c>
      <c r="H301" s="1" t="inlineStr">
        <is>
          <t>80х100/32</t>
        </is>
      </c>
      <c r="I301" s="1" t="n">
        <v>310</v>
      </c>
      <c r="J301" s="1" t="inlineStr">
        <is>
          <t>РИПОЛ Классик</t>
        </is>
      </c>
      <c r="M301" s="1" t="inlineStr">
        <is>
          <t>2024</t>
        </is>
      </c>
      <c r="N301" s="1" t="inlineStr">
        <is>
          <t>О</t>
        </is>
      </c>
      <c r="O301" s="9" t="n">
        <v>14</v>
      </c>
      <c r="P301" s="1">
        <f>ROUNDUP(750*(1-$F$3),2)</f>
        <v/>
      </c>
      <c r="Q301" s="1" t="inlineStr">
        <is>
          <t> </t>
        </is>
      </c>
      <c r="R301" s="1" t="inlineStr">
        <is>
          <t>978-5-386-10795-6</t>
        </is>
      </c>
      <c r="S301" s="1" t="inlineStr">
        <is>
          <t>9785386107956</t>
        </is>
      </c>
      <c r="T301" s="9" t="n">
        <v>10</v>
      </c>
      <c r="U301" s="1">
        <f>ROUNDUP(681.82*(1-$F$3),2)</f>
        <v/>
      </c>
      <c r="V301" s="1" t="n">
        <v>171</v>
      </c>
      <c r="Y301" s="1" t="inlineStr">
        <is>
          <t>Утехи и дни</t>
        </is>
      </c>
      <c r="Z301" s="1" t="inlineStr">
        <is>
          <t>12+</t>
        </is>
      </c>
      <c r="AA301" s="12" t="n">
        <v>43244</v>
      </c>
      <c r="AB301" s="1" t="inlineStr">
        <is>
          <t>Художественная литература</t>
        </is>
      </c>
      <c r="AC301" s="1" t="inlineStr">
        <is>
          <t>Зарубежная литература</t>
        </is>
      </c>
      <c r="AD301" s="1" t="inlineStr">
        <is>
          <t>Европейская литература</t>
        </is>
      </c>
      <c r="AE301" s="1" t="inlineStr">
        <is>
          <t>офсетная</t>
        </is>
      </c>
      <c r="AG301" s="1" t="n">
        <v>8652070</v>
      </c>
      <c r="AI301" s="1" t="inlineStr">
        <is>
          <t>4901990000</t>
        </is>
      </c>
    </row>
    <row r="302" customFormat="1" s="1">
      <c r="C302" s="1" t="inlineStr">
        <is>
          <t xml:space="preserve">8556360             </t>
        </is>
      </c>
      <c r="D302" s="1" t="inlineStr">
        <is>
          <t>Librarium</t>
        </is>
      </c>
      <c r="E302" s="1" t="inlineStr">
        <is>
          <t>Фацеции. Поджо Браччолини</t>
        </is>
      </c>
      <c r="F302" s="13" t="inlineStr">
        <is>
          <t>См.обл.</t>
        </is>
      </c>
      <c r="G302" s="1" t="inlineStr">
        <is>
          <t>Поджо Браччолини</t>
        </is>
      </c>
      <c r="H302" s="1" t="inlineStr">
        <is>
          <t>80х100/32</t>
        </is>
      </c>
      <c r="I302" s="1" t="n">
        <v>388</v>
      </c>
      <c r="J302" s="1" t="inlineStr">
        <is>
          <t>РИПОЛ Классик</t>
        </is>
      </c>
      <c r="M302" s="1" t="inlineStr">
        <is>
          <t>2023</t>
        </is>
      </c>
      <c r="N302" s="1" t="inlineStr">
        <is>
          <t>О</t>
        </is>
      </c>
      <c r="O302" s="9" t="n">
        <v>14</v>
      </c>
      <c r="P302" s="1">
        <f>ROUNDUP(750*(1-$F$3),2)</f>
        <v/>
      </c>
      <c r="Q302" s="1" t="inlineStr">
        <is>
          <t> </t>
        </is>
      </c>
      <c r="R302" s="1" t="inlineStr">
        <is>
          <t>978-5-386-10663-8</t>
        </is>
      </c>
      <c r="S302" s="1" t="inlineStr">
        <is>
          <t>9785386106638</t>
        </is>
      </c>
      <c r="T302" s="9" t="n">
        <v>10</v>
      </c>
      <c r="U302" s="1">
        <f>ROUNDUP(681.82*(1-$F$3),2)</f>
        <v/>
      </c>
      <c r="V302" s="1" t="n">
        <v>285</v>
      </c>
      <c r="Y302" s="1" t="inlineStr">
        <is>
          <t>Фацеции</t>
        </is>
      </c>
      <c r="Z302" s="1" t="inlineStr">
        <is>
          <t>12+</t>
        </is>
      </c>
      <c r="AA302" s="12" t="n">
        <v>43186</v>
      </c>
      <c r="AB302" s="1" t="inlineStr">
        <is>
          <t>Художественная литература</t>
        </is>
      </c>
      <c r="AC302" s="1" t="inlineStr">
        <is>
          <t>Зарубежная литература</t>
        </is>
      </c>
      <c r="AD302" s="1" t="inlineStr">
        <is>
          <t>Литература Древнего мира, Античности и Средних веков</t>
        </is>
      </c>
      <c r="AE302" s="1" t="inlineStr">
        <is>
          <t>офсетная</t>
        </is>
      </c>
      <c r="AG302" s="1" t="n">
        <v>8556360</v>
      </c>
      <c r="AI302" s="1" t="inlineStr">
        <is>
          <t>4901990000</t>
        </is>
      </c>
    </row>
    <row r="303" customFormat="1" s="1">
      <c r="C303" s="1" t="inlineStr">
        <is>
          <t xml:space="preserve">9975500             </t>
        </is>
      </c>
      <c r="D303" s="1" t="inlineStr">
        <is>
          <t>Librarium</t>
        </is>
      </c>
      <c r="E303" s="1" t="inlineStr">
        <is>
          <t>Фронт. Рейснер Л.М.</t>
        </is>
      </c>
      <c r="F303" s="13" t="inlineStr">
        <is>
          <t>См.обл.</t>
        </is>
      </c>
      <c r="G303" s="1" t="inlineStr">
        <is>
          <t>Рейснер Л.М.</t>
        </is>
      </c>
      <c r="H303" s="1" t="inlineStr">
        <is>
          <t>80х100/32</t>
        </is>
      </c>
      <c r="I303" s="1" t="n">
        <v>390</v>
      </c>
      <c r="J303" s="1" t="inlineStr">
        <is>
          <t>РИПОЛ Классик</t>
        </is>
      </c>
      <c r="M303" s="1" t="inlineStr">
        <is>
          <t>2026</t>
        </is>
      </c>
      <c r="N303" s="1" t="inlineStr">
        <is>
          <t>О</t>
        </is>
      </c>
      <c r="O303" s="9" t="n">
        <v>10</v>
      </c>
      <c r="P303" s="1">
        <f>ROUNDUP(868.5*(1-$F$3),2)</f>
        <v/>
      </c>
      <c r="Q303" s="1" t="inlineStr">
        <is>
          <t> </t>
        </is>
      </c>
      <c r="R303" s="1" t="inlineStr">
        <is>
          <t>978-5-386-14568-2</t>
        </is>
      </c>
      <c r="S303" s="1" t="inlineStr">
        <is>
          <t>9785386145682</t>
        </is>
      </c>
      <c r="T303" s="9" t="n">
        <v>10</v>
      </c>
      <c r="U303" s="1">
        <f>ROUNDUP(789.55*(1-$F$3),2)</f>
        <v/>
      </c>
      <c r="V303" s="1" t="n">
        <v>257</v>
      </c>
      <c r="Y303" s="1" t="inlineStr">
        <is>
          <t>Фронт</t>
        </is>
      </c>
      <c r="Z303" s="1" t="inlineStr">
        <is>
          <t>16+</t>
        </is>
      </c>
      <c r="AA303" s="12" t="n">
        <v>44572</v>
      </c>
      <c r="AB303" s="1" t="inlineStr">
        <is>
          <t>Художественно-документальная проза</t>
        </is>
      </c>
      <c r="AC303" s="1" t="inlineStr">
        <is>
          <t>Биографии. Мемуары</t>
        </is>
      </c>
      <c r="AD303" s="1" t="inlineStr">
        <is>
          <t>Воспоминания. Дневники. Письма</t>
        </is>
      </c>
      <c r="AE303" s="1" t="inlineStr">
        <is>
          <t>офсетная</t>
        </is>
      </c>
      <c r="AG303" s="1" t="n">
        <v>9975500</v>
      </c>
      <c r="AI303" s="1" t="inlineStr">
        <is>
          <t>4901990000</t>
        </is>
      </c>
    </row>
    <row r="304" customFormat="1" s="1">
      <c r="C304" s="1" t="inlineStr">
        <is>
          <t xml:space="preserve">9455450             </t>
        </is>
      </c>
      <c r="D304" s="1" t="inlineStr">
        <is>
          <t>Librarium</t>
        </is>
      </c>
      <c r="E304" s="1" t="inlineStr">
        <is>
          <t>Хижина дяди Тома. Бичер-Стоу Г.</t>
        </is>
      </c>
      <c r="F304" s="13" t="inlineStr">
        <is>
          <t>См.обл.</t>
        </is>
      </c>
      <c r="G304" s="1" t="inlineStr">
        <is>
          <t>Бичер-Стоу Г.</t>
        </is>
      </c>
      <c r="H304" s="1" t="inlineStr">
        <is>
          <t>80х100/32</t>
        </is>
      </c>
      <c r="I304" s="1" t="n">
        <v>544</v>
      </c>
      <c r="J304" s="1" t="inlineStr">
        <is>
          <t>РИПОЛ Классик</t>
        </is>
      </c>
      <c r="M304" s="1" t="inlineStr">
        <is>
          <t>2026</t>
        </is>
      </c>
      <c r="N304" s="1" t="inlineStr">
        <is>
          <t>О</t>
        </is>
      </c>
      <c r="O304" s="9" t="n">
        <v>8</v>
      </c>
      <c r="P304" s="1">
        <f>ROUNDUP(750*(1-$F$3),2)</f>
        <v/>
      </c>
      <c r="Q304" s="1" t="inlineStr">
        <is>
          <t> </t>
        </is>
      </c>
      <c r="R304" s="1" t="inlineStr">
        <is>
          <t>978-5-386-13736-6</t>
        </is>
      </c>
      <c r="S304" s="1" t="inlineStr">
        <is>
          <t>9785386137366</t>
        </is>
      </c>
      <c r="T304" s="9" t="n">
        <v>10</v>
      </c>
      <c r="U304" s="1">
        <f>ROUNDUP(681.82*(1-$F$3),2)</f>
        <v/>
      </c>
      <c r="V304" s="1" t="n">
        <v>401</v>
      </c>
      <c r="Y304" s="1" t="inlineStr">
        <is>
          <t>Хижина дяди Тома</t>
        </is>
      </c>
      <c r="Z304" s="1" t="inlineStr">
        <is>
          <t>12+</t>
        </is>
      </c>
      <c r="AA304" s="12" t="n">
        <v>44084</v>
      </c>
      <c r="AB304" s="1" t="inlineStr">
        <is>
          <t>Художественная литература</t>
        </is>
      </c>
      <c r="AC304" s="1" t="inlineStr">
        <is>
          <t>Зарубежная литература</t>
        </is>
      </c>
      <c r="AD304" s="1" t="inlineStr">
        <is>
          <t>Литература Америки и Австралии</t>
        </is>
      </c>
      <c r="AE304" s="1" t="inlineStr">
        <is>
          <t>офсетная</t>
        </is>
      </c>
      <c r="AG304" s="1" t="n">
        <v>9455450</v>
      </c>
      <c r="AI304" s="1" t="inlineStr">
        <is>
          <t>4901990000</t>
        </is>
      </c>
    </row>
    <row r="305" customFormat="1" s="1">
      <c r="C305" s="1" t="inlineStr">
        <is>
          <t xml:space="preserve">10402940            </t>
        </is>
      </c>
      <c r="D305" s="1" t="inlineStr">
        <is>
          <t>Librarium</t>
        </is>
      </c>
      <c r="E305" s="1" t="inlineStr">
        <is>
          <t>Хлыновск. Петров-Водкин К.С.</t>
        </is>
      </c>
      <c r="F305" s="13" t="inlineStr">
        <is>
          <t>См.обл.</t>
        </is>
      </c>
      <c r="G305" s="1" t="inlineStr">
        <is>
          <t>Петров-Водкин К.С.</t>
        </is>
      </c>
      <c r="H305" s="1" t="inlineStr">
        <is>
          <t>80х100/32</t>
        </is>
      </c>
      <c r="I305" s="1" t="n">
        <v>340</v>
      </c>
      <c r="J305" s="1" t="inlineStr">
        <is>
          <t>РИПОЛ Классик</t>
        </is>
      </c>
      <c r="M305" s="1" t="inlineStr">
        <is>
          <t>2026</t>
        </is>
      </c>
      <c r="N305" s="1" t="inlineStr">
        <is>
          <t>О</t>
        </is>
      </c>
      <c r="O305" s="9" t="n">
        <v>12</v>
      </c>
      <c r="P305" s="1">
        <f>ROUNDUP(950*(1-$F$3),2)</f>
        <v/>
      </c>
      <c r="Q305" s="1" t="inlineStr">
        <is>
          <t> </t>
        </is>
      </c>
      <c r="R305" s="1" t="inlineStr">
        <is>
          <t>978-5-386-14746-4</t>
        </is>
      </c>
      <c r="S305" s="1" t="inlineStr">
        <is>
          <t>9785386147464</t>
        </is>
      </c>
      <c r="T305" s="9" t="n">
        <v>10</v>
      </c>
      <c r="U305" s="1">
        <f>ROUNDUP(863.64*(1-$F$3),2)</f>
        <v/>
      </c>
      <c r="V305" s="1" t="n">
        <v>227</v>
      </c>
      <c r="Y305" s="1" t="inlineStr">
        <is>
          <t>Хлыновск</t>
        </is>
      </c>
      <c r="Z305" s="1" t="inlineStr">
        <is>
          <t>12+</t>
        </is>
      </c>
      <c r="AA305" s="12" t="n">
        <v>44704</v>
      </c>
      <c r="AB305" s="1" t="inlineStr">
        <is>
          <t>Искусство</t>
        </is>
      </c>
      <c r="AC305" s="1" t="inlineStr">
        <is>
          <t>Изобразительное искусство. Архитектура</t>
        </is>
      </c>
      <c r="AD305" s="1" t="inlineStr">
        <is>
          <t>Изобразительное искусство</t>
        </is>
      </c>
      <c r="AE305" s="1" t="inlineStr">
        <is>
          <t>офсетная</t>
        </is>
      </c>
      <c r="AG305" s="1" t="n">
        <v>10402940</v>
      </c>
      <c r="AI305" s="1" t="inlineStr">
        <is>
          <t>4901990000</t>
        </is>
      </c>
    </row>
    <row r="306" customFormat="1" s="1">
      <c r="C306" s="1" t="inlineStr">
        <is>
          <t xml:space="preserve">10019500            </t>
        </is>
      </c>
      <c r="D306" s="1" t="inlineStr">
        <is>
          <t>Librarium</t>
        </is>
      </c>
      <c r="E306" s="1" t="inlineStr">
        <is>
          <t>Хмурые люди. Чехов А.П.</t>
        </is>
      </c>
      <c r="F306" s="13" t="inlineStr">
        <is>
          <t>См.обл.</t>
        </is>
      </c>
      <c r="G306" s="1" t="inlineStr">
        <is>
          <t>Чехов А.П.</t>
        </is>
      </c>
      <c r="H306" s="1" t="inlineStr">
        <is>
          <t>80х100/32</t>
        </is>
      </c>
      <c r="I306" s="1" t="n">
        <v>254</v>
      </c>
      <c r="J306" s="1" t="inlineStr">
        <is>
          <t>РИПОЛ Классик</t>
        </is>
      </c>
      <c r="M306" s="1" t="inlineStr">
        <is>
          <t>2026</t>
        </is>
      </c>
      <c r="N306" s="1" t="inlineStr">
        <is>
          <t>О</t>
        </is>
      </c>
      <c r="O306" s="9" t="n">
        <v>16</v>
      </c>
      <c r="P306" s="1">
        <f>ROUNDUP(844.1*(1-$F$3),2)</f>
        <v/>
      </c>
      <c r="Q306" s="1" t="inlineStr">
        <is>
          <t> </t>
        </is>
      </c>
      <c r="R306" s="1" t="inlineStr">
        <is>
          <t>978-5-386-14604-7</t>
        </is>
      </c>
      <c r="S306" s="1" t="inlineStr">
        <is>
          <t>9785386146047</t>
        </is>
      </c>
      <c r="T306" s="9" t="n">
        <v>10</v>
      </c>
      <c r="U306" s="1">
        <f>ROUNDUP(767.36*(1-$F$3),2)</f>
        <v/>
      </c>
      <c r="V306" s="1" t="n">
        <v>172</v>
      </c>
      <c r="Y306" s="1" t="inlineStr">
        <is>
          <t>Хмурые люди</t>
        </is>
      </c>
      <c r="Z306" s="1" t="inlineStr">
        <is>
          <t>16+</t>
        </is>
      </c>
      <c r="AA306" s="12" t="n">
        <v>44592</v>
      </c>
      <c r="AB306" s="1" t="inlineStr">
        <is>
          <t>Художественная литература</t>
        </is>
      </c>
      <c r="AC306" s="1" t="inlineStr">
        <is>
          <t>Русская литература</t>
        </is>
      </c>
      <c r="AD306" s="1" t="inlineStr">
        <is>
          <t>Русская литература XVIII-нач. XX вв. (до 1917 г.)</t>
        </is>
      </c>
      <c r="AE306" s="1" t="inlineStr">
        <is>
          <t>офсетная</t>
        </is>
      </c>
      <c r="AG306" s="1" t="n">
        <v>10019500</v>
      </c>
      <c r="AI306" s="1" t="inlineStr">
        <is>
          <t>4901990000</t>
        </is>
      </c>
    </row>
    <row r="307" customFormat="1" s="1">
      <c r="C307" s="1" t="inlineStr">
        <is>
          <t xml:space="preserve">9696100             </t>
        </is>
      </c>
      <c r="D307" s="1" t="inlineStr">
        <is>
          <t>Librarium</t>
        </is>
      </c>
      <c r="E307" s="1" t="inlineStr">
        <is>
          <t>Царь Эдип; Эдип в Колоне: пьесы. Софокл</t>
        </is>
      </c>
      <c r="F307" s="13" t="inlineStr">
        <is>
          <t>См.обл.</t>
        </is>
      </c>
      <c r="G307" s="1" t="inlineStr">
        <is>
          <t>Софокл</t>
        </is>
      </c>
      <c r="H307" s="1" t="inlineStr">
        <is>
          <t>80х100/32</t>
        </is>
      </c>
      <c r="I307" s="1" t="n">
        <v>250</v>
      </c>
      <c r="J307" s="1" t="inlineStr">
        <is>
          <t>РИПОЛ Классик</t>
        </is>
      </c>
      <c r="M307" s="1" t="inlineStr">
        <is>
          <t>2026</t>
        </is>
      </c>
      <c r="N307" s="1" t="inlineStr">
        <is>
          <t>О</t>
        </is>
      </c>
      <c r="O307" s="9" t="n">
        <v>16</v>
      </c>
      <c r="P307" s="1">
        <f>ROUNDUP(750*(1-$F$3),2)</f>
        <v/>
      </c>
      <c r="Q307" s="1" t="inlineStr">
        <is>
          <t> </t>
        </is>
      </c>
      <c r="R307" s="1" t="inlineStr">
        <is>
          <t>978-5-386-14034-2</t>
        </is>
      </c>
      <c r="S307" s="1" t="inlineStr">
        <is>
          <t>9785386140342</t>
        </is>
      </c>
      <c r="T307" s="9" t="n">
        <v>10</v>
      </c>
      <c r="U307" s="1">
        <f>ROUNDUP(681.82*(1-$F$3),2)</f>
        <v/>
      </c>
      <c r="V307" s="1" t="n">
        <v>143</v>
      </c>
      <c r="Y307" s="1" t="inlineStr">
        <is>
          <t>Царь Эдип; Эдип в Колоне: пьесы</t>
        </is>
      </c>
      <c r="Z307" s="1" t="inlineStr">
        <is>
          <t>0 +</t>
        </is>
      </c>
      <c r="AA307" s="12" t="n">
        <v>44300</v>
      </c>
      <c r="AB307" s="1" t="inlineStr">
        <is>
          <t>Художественная литература</t>
        </is>
      </c>
      <c r="AC307" s="1" t="inlineStr">
        <is>
          <t>Зарубежная литература</t>
        </is>
      </c>
      <c r="AD307" s="1" t="inlineStr">
        <is>
          <t>Литература Древнего мира, Античности и Средних веков</t>
        </is>
      </c>
      <c r="AE307" s="1" t="inlineStr">
        <is>
          <t>офсетная</t>
        </is>
      </c>
      <c r="AG307" s="1" t="n">
        <v>9696100</v>
      </c>
      <c r="AI307" s="1" t="inlineStr">
        <is>
          <t>4901990000</t>
        </is>
      </c>
    </row>
    <row r="308" customFormat="1" s="1">
      <c r="C308" s="1" t="inlineStr">
        <is>
          <t xml:space="preserve">9668220             </t>
        </is>
      </c>
      <c r="D308" s="1" t="inlineStr">
        <is>
          <t>Librarium</t>
        </is>
      </c>
      <c r="E308" s="1" t="inlineStr">
        <is>
          <t>Черный квадрат. Малевич К.С.</t>
        </is>
      </c>
      <c r="F308" s="13" t="inlineStr">
        <is>
          <t>См.обл.</t>
        </is>
      </c>
      <c r="G308" s="1" t="inlineStr">
        <is>
          <t>Малевич К.С.</t>
        </is>
      </c>
      <c r="H308" s="1" t="inlineStr">
        <is>
          <t>80х100/32</t>
        </is>
      </c>
      <c r="I308" s="1" t="n">
        <v>362</v>
      </c>
      <c r="J308" s="1" t="inlineStr">
        <is>
          <t>РИПОЛ Классик</t>
        </is>
      </c>
      <c r="M308" s="1" t="inlineStr">
        <is>
          <t>2026</t>
        </is>
      </c>
      <c r="N308" s="1" t="inlineStr">
        <is>
          <t>О</t>
        </is>
      </c>
      <c r="O308" s="9" t="n">
        <v>10</v>
      </c>
      <c r="P308" s="1">
        <f>ROUNDUP(950*(1-$F$3),2)</f>
        <v/>
      </c>
      <c r="Q308" s="1" t="inlineStr">
        <is>
          <t> </t>
        </is>
      </c>
      <c r="R308" s="1" t="inlineStr">
        <is>
          <t>978-5-386-14171-4</t>
        </is>
      </c>
      <c r="S308" s="1" t="inlineStr">
        <is>
          <t>9785386141714</t>
        </is>
      </c>
      <c r="T308" s="9" t="n">
        <v>10</v>
      </c>
      <c r="U308" s="1">
        <f>ROUNDUP(863.64*(1-$F$3),2)</f>
        <v/>
      </c>
      <c r="V308" s="1" t="n">
        <v>241</v>
      </c>
      <c r="Y308" s="1" t="inlineStr">
        <is>
          <t>Черный квадрат</t>
        </is>
      </c>
      <c r="Z308" s="1" t="inlineStr">
        <is>
          <t>12+</t>
        </is>
      </c>
      <c r="AA308" s="12" t="n">
        <v>44316</v>
      </c>
      <c r="AB308" s="1" t="inlineStr">
        <is>
          <t>Искусство</t>
        </is>
      </c>
      <c r="AC308" s="1" t="inlineStr">
        <is>
          <t>Изобразительное искусство. Архитектура</t>
        </is>
      </c>
      <c r="AD308" s="1" t="inlineStr">
        <is>
          <t>Изобразительное искусство</t>
        </is>
      </c>
      <c r="AE308" s="1" t="inlineStr">
        <is>
          <t>офсетная</t>
        </is>
      </c>
      <c r="AG308" s="1" t="n">
        <v>9668220</v>
      </c>
      <c r="AI308" s="1" t="inlineStr">
        <is>
          <t>4901990000</t>
        </is>
      </c>
    </row>
    <row r="309" customFormat="1" s="1">
      <c r="C309" s="1" t="inlineStr">
        <is>
          <t xml:space="preserve">9733230             </t>
        </is>
      </c>
      <c r="D309" s="1" t="inlineStr">
        <is>
          <t>Librarium</t>
        </is>
      </c>
      <c r="E309" s="1" t="inlineStr">
        <is>
          <t>Чертова кукла. Гиппиус З.Н.</t>
        </is>
      </c>
      <c r="F309" s="13" t="inlineStr">
        <is>
          <t>См.обл.</t>
        </is>
      </c>
      <c r="G309" s="1" t="inlineStr">
        <is>
          <t>Гиппиус З.Н.</t>
        </is>
      </c>
      <c r="H309" s="1" t="inlineStr">
        <is>
          <t>80х100/32</t>
        </is>
      </c>
      <c r="I309" s="1" t="n">
        <v>334</v>
      </c>
      <c r="J309" s="1" t="inlineStr">
        <is>
          <t>РИПОЛ Классик</t>
        </is>
      </c>
      <c r="M309" s="1" t="inlineStr">
        <is>
          <t>2026</t>
        </is>
      </c>
      <c r="N309" s="1" t="inlineStr">
        <is>
          <t>О</t>
        </is>
      </c>
      <c r="O309" s="9" t="n">
        <v>12</v>
      </c>
      <c r="P309" s="1">
        <f>ROUNDUP(896.8*(1-$F$3),2)</f>
        <v/>
      </c>
      <c r="Q309" s="1" t="inlineStr">
        <is>
          <t> </t>
        </is>
      </c>
      <c r="R309" s="1" t="inlineStr">
        <is>
          <t>978-5-386-14360-2</t>
        </is>
      </c>
      <c r="S309" s="1" t="inlineStr">
        <is>
          <t>9785386143602</t>
        </is>
      </c>
      <c r="T309" s="9" t="n">
        <v>10</v>
      </c>
      <c r="U309" s="1">
        <f>ROUNDUP(815.27*(1-$F$3),2)</f>
        <v/>
      </c>
      <c r="V309" s="1" t="n">
        <v>246</v>
      </c>
      <c r="Y309" s="1" t="inlineStr">
        <is>
          <t>Чертова кукла</t>
        </is>
      </c>
      <c r="Z309" s="1" t="inlineStr">
        <is>
          <t>16+</t>
        </is>
      </c>
      <c r="AA309" s="12" t="n">
        <v>44473</v>
      </c>
      <c r="AB309" s="1" t="inlineStr">
        <is>
          <t>Художественная литература</t>
        </is>
      </c>
      <c r="AC309" s="1" t="inlineStr">
        <is>
          <t>Русская литература</t>
        </is>
      </c>
      <c r="AD309" s="1" t="inlineStr">
        <is>
          <t>Русская литература XVIII-нач. XX вв. (до 1917 г.)</t>
        </is>
      </c>
      <c r="AE309" s="1" t="inlineStr">
        <is>
          <t>офсетная</t>
        </is>
      </c>
      <c r="AG309" s="1" t="n">
        <v>9733230</v>
      </c>
      <c r="AI309" s="1" t="inlineStr">
        <is>
          <t>4901990000</t>
        </is>
      </c>
    </row>
    <row r="310" customFormat="1" s="1">
      <c r="C310" s="1" t="inlineStr">
        <is>
          <t xml:space="preserve">9965600             </t>
        </is>
      </c>
      <c r="D310" s="1" t="inlineStr">
        <is>
          <t>Librarium</t>
        </is>
      </c>
      <c r="E310" s="1" t="inlineStr">
        <is>
          <t>Эротика. Саломе Л.</t>
        </is>
      </c>
      <c r="F310" s="13" t="inlineStr">
        <is>
          <t>См.обл.</t>
        </is>
      </c>
      <c r="G310" s="1" t="inlineStr">
        <is>
          <t>Саломе Л.</t>
        </is>
      </c>
      <c r="H310" s="1" t="inlineStr">
        <is>
          <t>80х100/32</t>
        </is>
      </c>
      <c r="I310" s="1" t="n">
        <v>404</v>
      </c>
      <c r="J310" s="1" t="inlineStr">
        <is>
          <t>РИПОЛ Классик</t>
        </is>
      </c>
      <c r="M310" s="1" t="inlineStr">
        <is>
          <t>2026</t>
        </is>
      </c>
      <c r="N310" s="1" t="inlineStr">
        <is>
          <t>О</t>
        </is>
      </c>
      <c r="O310" s="9" t="n">
        <v>6</v>
      </c>
      <c r="P310" s="1">
        <f>ROUNDUP(790*(1-$F$3),2)</f>
        <v/>
      </c>
      <c r="Q310" s="1" t="inlineStr">
        <is>
          <t> </t>
        </is>
      </c>
      <c r="R310" s="1" t="inlineStr">
        <is>
          <t>978-5-386-14499-9</t>
        </is>
      </c>
      <c r="S310" s="1" t="inlineStr">
        <is>
          <t>9785386144999</t>
        </is>
      </c>
      <c r="T310" s="9" t="n">
        <v>10</v>
      </c>
      <c r="U310" s="1">
        <f>ROUNDUP(718.18*(1-$F$3),2)</f>
        <v/>
      </c>
      <c r="V310" s="1" t="n">
        <v>266</v>
      </c>
      <c r="Y310" s="1" t="inlineStr">
        <is>
          <t>Эротика</t>
        </is>
      </c>
      <c r="Z310" s="1" t="inlineStr">
        <is>
          <t>16+</t>
        </is>
      </c>
      <c r="AA310" s="12" t="n">
        <v>44475</v>
      </c>
      <c r="AB310" s="1" t="inlineStr">
        <is>
          <t>Гуманитарные науки</t>
        </is>
      </c>
      <c r="AC310" s="1" t="inlineStr">
        <is>
          <t>Психология</t>
        </is>
      </c>
      <c r="AD310" s="1" t="inlineStr">
        <is>
          <t>Глубинная психология. Психоанализ</t>
        </is>
      </c>
      <c r="AE310" s="1" t="inlineStr">
        <is>
          <t>офсетная</t>
        </is>
      </c>
      <c r="AG310" s="1" t="n">
        <v>9965600</v>
      </c>
      <c r="AI310" s="1" t="inlineStr">
        <is>
          <t>4901990000</t>
        </is>
      </c>
    </row>
    <row r="311" customFormat="1" s="1">
      <c r="C311" s="1" t="inlineStr">
        <is>
          <t xml:space="preserve">9723200             </t>
        </is>
      </c>
      <c r="D311" s="1" t="inlineStr">
        <is>
          <t>Librarium</t>
        </is>
      </c>
      <c r="E311" s="1" t="inlineStr">
        <is>
          <t>Этика жизни. Карлейль Т.</t>
        </is>
      </c>
      <c r="F311" s="13" t="inlineStr">
        <is>
          <t>См.обл.</t>
        </is>
      </c>
      <c r="G311" s="1" t="inlineStr">
        <is>
          <t>Карлейль Т.</t>
        </is>
      </c>
      <c r="H311" s="1" t="inlineStr">
        <is>
          <t>80х100/32</t>
        </is>
      </c>
      <c r="I311" s="1" t="n">
        <v>198</v>
      </c>
      <c r="J311" s="1" t="inlineStr">
        <is>
          <t>РИПОЛ Классик</t>
        </is>
      </c>
      <c r="M311" s="1" t="inlineStr">
        <is>
          <t>2026</t>
        </is>
      </c>
      <c r="N311" s="1" t="inlineStr">
        <is>
          <t>О</t>
        </is>
      </c>
      <c r="O311" s="9" t="n">
        <v>20</v>
      </c>
      <c r="P311" s="1">
        <f>ROUNDUP(750*(1-$F$3),2)</f>
        <v/>
      </c>
      <c r="Q311" s="1" t="inlineStr">
        <is>
          <t> </t>
        </is>
      </c>
      <c r="R311" s="1" t="inlineStr">
        <is>
          <t>978-5-386-14331-2</t>
        </is>
      </c>
      <c r="S311" s="1" t="inlineStr">
        <is>
          <t>9785386143312</t>
        </is>
      </c>
      <c r="T311" s="9" t="n">
        <v>10</v>
      </c>
      <c r="U311" s="1">
        <f>ROUNDUP(681.82*(1-$F$3),2)</f>
        <v/>
      </c>
      <c r="V311" s="1" t="n">
        <v>178</v>
      </c>
      <c r="Y311" s="1" t="inlineStr">
        <is>
          <t>Этика жизни</t>
        </is>
      </c>
      <c r="Z311" s="1" t="inlineStr">
        <is>
          <t>12+</t>
        </is>
      </c>
      <c r="AA311" s="12" t="n">
        <v>44363</v>
      </c>
      <c r="AB311" s="1" t="inlineStr">
        <is>
          <t>Гуманитарные науки</t>
        </is>
      </c>
      <c r="AC311" s="1" t="inlineStr">
        <is>
          <t>Философские науки</t>
        </is>
      </c>
      <c r="AD311" s="1" t="inlineStr">
        <is>
          <t>Этика</t>
        </is>
      </c>
      <c r="AE311" s="1" t="inlineStr">
        <is>
          <t>офсетная</t>
        </is>
      </c>
      <c r="AG311" s="1" t="n">
        <v>9723200</v>
      </c>
      <c r="AI311" s="1" t="inlineStr">
        <is>
          <t>4901990000</t>
        </is>
      </c>
    </row>
    <row r="312" customFormat="1" s="1">
      <c r="C312" s="1" t="inlineStr">
        <is>
          <t xml:space="preserve">10453410            </t>
        </is>
      </c>
      <c r="D312" s="1" t="inlineStr">
        <is>
          <t>Love&amp;Travel</t>
        </is>
      </c>
      <c r="E312" s="1" t="inlineStr">
        <is>
          <t>Вкус шалфея. Сантос Й.С.</t>
        </is>
      </c>
      <c r="F312" s="13" t="inlineStr">
        <is>
          <t>См.обл.</t>
        </is>
      </c>
      <c r="G312" s="1" t="inlineStr">
        <is>
          <t>Сантос Й.С.</t>
        </is>
      </c>
      <c r="H312" s="1" t="inlineStr">
        <is>
          <t>60х90/16</t>
        </is>
      </c>
      <c r="I312" s="1" t="n">
        <v>320</v>
      </c>
      <c r="J312" s="1" t="inlineStr">
        <is>
          <t>РИПОЛ Классик</t>
        </is>
      </c>
      <c r="M312" s="1" t="inlineStr">
        <is>
          <t>2022</t>
        </is>
      </c>
      <c r="N312" s="1" t="inlineStr">
        <is>
          <t>О</t>
        </is>
      </c>
      <c r="O312" s="9" t="n">
        <v>9</v>
      </c>
      <c r="P312" s="1">
        <f>ROUNDUP(640*(1-$F$3),2)</f>
        <v/>
      </c>
      <c r="Q312" s="1" t="inlineStr">
        <is>
          <t> </t>
        </is>
      </c>
      <c r="R312" s="1" t="inlineStr">
        <is>
          <t>978-5-386-14789-1</t>
        </is>
      </c>
      <c r="S312" s="1" t="inlineStr">
        <is>
          <t>9785386147891</t>
        </is>
      </c>
      <c r="T312" s="9" t="n">
        <v>10</v>
      </c>
      <c r="U312" s="1">
        <f>ROUNDUP(581.82*(1-$F$3),2)</f>
        <v/>
      </c>
      <c r="V312" s="1" t="n">
        <v>269</v>
      </c>
      <c r="Y312" s="1" t="inlineStr">
        <is>
          <t>Вкус шалфея</t>
        </is>
      </c>
      <c r="Z312" s="1" t="inlineStr">
        <is>
          <t>16+</t>
        </is>
      </c>
      <c r="AA312" s="12" t="n">
        <v>44719</v>
      </c>
      <c r="AB312" s="1" t="inlineStr">
        <is>
          <t>Художественная литература</t>
        </is>
      </c>
      <c r="AC312" s="1" t="inlineStr">
        <is>
          <t>Зарубежная литература</t>
        </is>
      </c>
      <c r="AD312" s="1" t="inlineStr">
        <is>
          <t>Литература Америки и Австралии</t>
        </is>
      </c>
      <c r="AE312" s="1" t="inlineStr">
        <is>
          <t>газетная</t>
        </is>
      </c>
      <c r="AG312" s="1" t="n">
        <v>10453410</v>
      </c>
      <c r="AI312" s="1" t="inlineStr">
        <is>
          <t>4901990000</t>
        </is>
      </c>
    </row>
    <row r="313" customFormat="1" s="1">
      <c r="C313" s="1" t="inlineStr">
        <is>
          <t xml:space="preserve">10512010            </t>
        </is>
      </c>
      <c r="D313" s="1" t="inlineStr">
        <is>
          <t>Love&amp;Travel</t>
        </is>
      </c>
      <c r="E313" s="1" t="inlineStr">
        <is>
          <t>Есть, молиться, любить. Гилберт Э.</t>
        </is>
      </c>
      <c r="F313" s="13" t="inlineStr">
        <is>
          <t>См.обл.</t>
        </is>
      </c>
      <c r="G313" s="1" t="inlineStr">
        <is>
          <t>Гилберт Э.</t>
        </is>
      </c>
      <c r="H313" s="1" t="inlineStr">
        <is>
          <t>60х90/16</t>
        </is>
      </c>
      <c r="I313" s="1" t="n">
        <v>496</v>
      </c>
      <c r="J313" s="1" t="inlineStr">
        <is>
          <t>РИПОЛ Классик</t>
        </is>
      </c>
      <c r="M313" s="1" t="inlineStr">
        <is>
          <t>2026</t>
        </is>
      </c>
      <c r="N313" s="1" t="inlineStr">
        <is>
          <t>О</t>
        </is>
      </c>
      <c r="O313" s="9" t="n">
        <v>4</v>
      </c>
      <c r="P313" s="1">
        <f>ROUNDUP(1100*(1-$F$3),2)</f>
        <v/>
      </c>
      <c r="Q313" s="1" t="inlineStr">
        <is>
          <t> </t>
        </is>
      </c>
      <c r="R313" s="1" t="inlineStr">
        <is>
          <t>978-5-386-14842-3</t>
        </is>
      </c>
      <c r="S313" s="1" t="inlineStr">
        <is>
          <t>9785386148423</t>
        </is>
      </c>
      <c r="T313" s="9" t="n">
        <v>10</v>
      </c>
      <c r="U313" s="1">
        <f>ROUNDUP(1000*(1-$F$3),2)</f>
        <v/>
      </c>
      <c r="V313" s="1" t="n">
        <v>441</v>
      </c>
      <c r="Y313" s="1" t="inlineStr">
        <is>
          <t>Есть, молиться, любить</t>
        </is>
      </c>
      <c r="Z313" s="1" t="inlineStr">
        <is>
          <t>16+</t>
        </is>
      </c>
      <c r="AA313" s="12" t="n">
        <v>44805</v>
      </c>
      <c r="AB313" s="1" t="inlineStr">
        <is>
          <t>Художественная литература</t>
        </is>
      </c>
      <c r="AC313" s="1" t="inlineStr">
        <is>
          <t>Зарубежная литература</t>
        </is>
      </c>
      <c r="AD313" s="1" t="inlineStr">
        <is>
          <t>Литература Америки и Австралии</t>
        </is>
      </c>
      <c r="AE313" s="1" t="inlineStr">
        <is>
          <t>офсетная</t>
        </is>
      </c>
      <c r="AG313" s="1" t="n">
        <v>10512010</v>
      </c>
      <c r="AI313" s="1" t="inlineStr">
        <is>
          <t>4901990000</t>
        </is>
      </c>
      <c r="AJ313" s="1" t="inlineStr">
        <is>
          <t>Зпв</t>
        </is>
      </c>
    </row>
    <row r="314" customFormat="1" s="1">
      <c r="C314" s="1" t="inlineStr">
        <is>
          <t xml:space="preserve">10455520            </t>
        </is>
      </c>
      <c r="D314" s="1" t="inlineStr">
        <is>
          <t>Love&amp;Travel</t>
        </is>
      </c>
      <c r="E314" s="1" t="inlineStr">
        <is>
          <t>Любовь по переписке. Беннет Дж.</t>
        </is>
      </c>
      <c r="F314" s="13" t="inlineStr">
        <is>
          <t>См.обл.</t>
        </is>
      </c>
      <c r="G314" s="1" t="inlineStr">
        <is>
          <t>Беннет Дж.</t>
        </is>
      </c>
      <c r="H314" s="1" t="inlineStr">
        <is>
          <t>60х90/16</t>
        </is>
      </c>
      <c r="I314" s="1" t="n">
        <v>416</v>
      </c>
      <c r="J314" s="1" t="inlineStr">
        <is>
          <t>РИПОЛ Классик</t>
        </is>
      </c>
      <c r="M314" s="1" t="inlineStr">
        <is>
          <t>2022</t>
        </is>
      </c>
      <c r="N314" s="1" t="inlineStr">
        <is>
          <t>О</t>
        </is>
      </c>
      <c r="O314" s="9" t="n">
        <v>7</v>
      </c>
      <c r="P314" s="1">
        <f>ROUNDUP(690*(1-$F$3),2)</f>
        <v/>
      </c>
      <c r="Q314" s="1" t="inlineStr">
        <is>
          <t> </t>
        </is>
      </c>
      <c r="R314" s="1" t="inlineStr">
        <is>
          <t>978-5-386-14778-5</t>
        </is>
      </c>
      <c r="S314" s="1" t="inlineStr">
        <is>
          <t>9785386147785</t>
        </is>
      </c>
      <c r="T314" s="9" t="n">
        <v>10</v>
      </c>
      <c r="U314" s="1">
        <f>ROUNDUP(627.27*(1-$F$3),2)</f>
        <v/>
      </c>
      <c r="V314" s="1" t="n">
        <v>352</v>
      </c>
      <c r="Y314" s="1" t="inlineStr">
        <is>
          <t>Любовь по переписке</t>
        </is>
      </c>
      <c r="Z314" s="1" t="inlineStr">
        <is>
          <t>16+</t>
        </is>
      </c>
      <c r="AA314" s="12" t="n">
        <v>44719</v>
      </c>
      <c r="AB314" s="1" t="inlineStr">
        <is>
          <t>Художественная литература</t>
        </is>
      </c>
      <c r="AC314" s="1" t="inlineStr">
        <is>
          <t>Сентиментальная проза</t>
        </is>
      </c>
      <c r="AD314" s="1" t="inlineStr">
        <is>
          <t>Зарубежный сентиментальный роман</t>
        </is>
      </c>
      <c r="AE314" s="1" t="inlineStr">
        <is>
          <t>офсетная</t>
        </is>
      </c>
      <c r="AG314" s="1" t="n">
        <v>10455520</v>
      </c>
      <c r="AI314" s="1" t="inlineStr">
        <is>
          <t>4901990000</t>
        </is>
      </c>
      <c r="AJ314" s="1" t="inlineStr">
        <is>
          <t>Зпв</t>
        </is>
      </c>
    </row>
    <row r="315" customFormat="1" s="1">
      <c r="C315" s="1" t="inlineStr">
        <is>
          <t xml:space="preserve">10462790            </t>
        </is>
      </c>
      <c r="D315" s="1" t="inlineStr">
        <is>
          <t>Love&amp;Travel</t>
        </is>
      </c>
      <c r="E315" s="1" t="inlineStr">
        <is>
          <t>Самая-самая, всеми любимая (и на работе тоже все о кей). Хааг М.</t>
        </is>
      </c>
      <c r="F315" s="13" t="inlineStr">
        <is>
          <t>См.обл.</t>
        </is>
      </c>
      <c r="G315" s="1" t="inlineStr">
        <is>
          <t>Хааг М.</t>
        </is>
      </c>
      <c r="H315" s="1" t="inlineStr">
        <is>
          <t>60х90/16</t>
        </is>
      </c>
      <c r="I315" s="1" t="n">
        <v>176</v>
      </c>
      <c r="J315" s="1" t="inlineStr">
        <is>
          <t>РИПОЛ Классик</t>
        </is>
      </c>
      <c r="M315" s="1" t="inlineStr">
        <is>
          <t>2022</t>
        </is>
      </c>
      <c r="N315" s="1" t="inlineStr">
        <is>
          <t>О</t>
        </is>
      </c>
      <c r="O315" s="9" t="n">
        <v>16</v>
      </c>
      <c r="P315" s="1">
        <f>ROUNDUP(540*(1-$F$3),2)</f>
        <v/>
      </c>
      <c r="Q315" s="1" t="inlineStr">
        <is>
          <t> </t>
        </is>
      </c>
      <c r="R315" s="1" t="inlineStr">
        <is>
          <t>978-5-386-14822-5</t>
        </is>
      </c>
      <c r="S315" s="1" t="inlineStr">
        <is>
          <t>9785386148225</t>
        </is>
      </c>
      <c r="T315" s="9" t="n">
        <v>10</v>
      </c>
      <c r="U315" s="1">
        <f>ROUNDUP(490.91*(1-$F$3),2)</f>
        <v/>
      </c>
      <c r="V315" s="1" t="n">
        <v>154</v>
      </c>
      <c r="Y315" s="1" t="inlineStr">
        <is>
          <t>Самая-самая, всеми любимая (и на работе тоже все о кей)</t>
        </is>
      </c>
      <c r="Z315" s="1" t="inlineStr">
        <is>
          <t>16+</t>
        </is>
      </c>
      <c r="AA315" s="12" t="n">
        <v>44719</v>
      </c>
      <c r="AB315" s="1" t="inlineStr">
        <is>
          <t>Художественная литература</t>
        </is>
      </c>
      <c r="AC315" s="1" t="inlineStr">
        <is>
          <t>Зарубежная литература</t>
        </is>
      </c>
      <c r="AD315" s="1" t="inlineStr">
        <is>
          <t>Европейская литература</t>
        </is>
      </c>
      <c r="AE315" s="1" t="inlineStr">
        <is>
          <t>газетная</t>
        </is>
      </c>
      <c r="AG315" s="1" t="n">
        <v>10462790</v>
      </c>
      <c r="AI315" s="1" t="inlineStr">
        <is>
          <t>4901990000</t>
        </is>
      </c>
    </row>
    <row r="316" customFormat="1" s="1">
      <c r="C316" s="1" t="inlineStr">
        <is>
          <t xml:space="preserve">10452490            </t>
        </is>
      </c>
      <c r="D316" s="1" t="inlineStr">
        <is>
          <t>Love&amp;Travel</t>
        </is>
      </c>
      <c r="E316" s="1" t="inlineStr">
        <is>
          <t>Три метра над небом: Навеки твой. Моччиа Ф.</t>
        </is>
      </c>
      <c r="F316" s="13" t="inlineStr">
        <is>
          <t>См.обл.</t>
        </is>
      </c>
      <c r="G316" s="1" t="inlineStr">
        <is>
          <t>Моччиа Ф.</t>
        </is>
      </c>
      <c r="H316" s="1" t="inlineStr">
        <is>
          <t>60х90/16</t>
        </is>
      </c>
      <c r="I316" s="1" t="n">
        <v>464</v>
      </c>
      <c r="J316" s="1" t="inlineStr">
        <is>
          <t>РИПОЛ Классик</t>
        </is>
      </c>
      <c r="M316" s="1" t="inlineStr">
        <is>
          <t>2022</t>
        </is>
      </c>
      <c r="N316" s="1" t="inlineStr">
        <is>
          <t>О</t>
        </is>
      </c>
      <c r="O316" s="9" t="n">
        <v>6</v>
      </c>
      <c r="P316" s="1">
        <f>ROUNDUP(780*(1-$F$3),2)</f>
        <v/>
      </c>
      <c r="Q316" s="1" t="inlineStr">
        <is>
          <t> </t>
        </is>
      </c>
      <c r="R316" s="1" t="inlineStr">
        <is>
          <t>978-5-386-14775-4</t>
        </is>
      </c>
      <c r="S316" s="1" t="inlineStr">
        <is>
          <t>9785386147754</t>
        </is>
      </c>
      <c r="T316" s="9" t="n">
        <v>10</v>
      </c>
      <c r="U316" s="1">
        <f>ROUNDUP(709.09*(1-$F$3),2)</f>
        <v/>
      </c>
      <c r="V316" s="1" t="n">
        <v>391</v>
      </c>
      <c r="Y316" s="1" t="inlineStr">
        <is>
          <t>Три метра над небом: Навеки твой</t>
        </is>
      </c>
      <c r="Z316" s="1" t="inlineStr">
        <is>
          <t>16+</t>
        </is>
      </c>
      <c r="AA316" s="12" t="n">
        <v>44719</v>
      </c>
      <c r="AB316" s="1" t="inlineStr">
        <is>
          <t>Художественная литература</t>
        </is>
      </c>
      <c r="AC316" s="1" t="inlineStr">
        <is>
          <t>Сентиментальная проза</t>
        </is>
      </c>
      <c r="AD316" s="1" t="inlineStr">
        <is>
          <t>Зарубежный сентиментальный роман</t>
        </is>
      </c>
      <c r="AE316" s="1" t="inlineStr">
        <is>
          <t>офсетная</t>
        </is>
      </c>
      <c r="AG316" s="1" t="n">
        <v>10452490</v>
      </c>
      <c r="AI316" s="1" t="inlineStr">
        <is>
          <t>4901990000</t>
        </is>
      </c>
      <c r="AJ316" s="1" t="inlineStr">
        <is>
          <t>Зпв</t>
        </is>
      </c>
    </row>
    <row r="317" customFormat="1" s="1">
      <c r="C317" s="1" t="inlineStr">
        <is>
          <t xml:space="preserve">10461640            </t>
        </is>
      </c>
      <c r="D317" s="1" t="inlineStr">
        <is>
          <t>Love&amp;Travel</t>
        </is>
      </c>
      <c r="E317" s="1" t="inlineStr">
        <is>
          <t>Трудности перевода. Рой О.Ю.</t>
        </is>
      </c>
      <c r="F317" s="13" t="inlineStr">
        <is>
          <t>См.обл.</t>
        </is>
      </c>
      <c r="G317" s="1" t="inlineStr">
        <is>
          <t>Рой О.Ю.</t>
        </is>
      </c>
      <c r="H317" s="1" t="inlineStr">
        <is>
          <t>60х90/16</t>
        </is>
      </c>
      <c r="I317" s="1" t="n">
        <v>416</v>
      </c>
      <c r="J317" s="1" t="inlineStr">
        <is>
          <t>РИПОЛ Классик</t>
        </is>
      </c>
      <c r="M317" s="1" t="inlineStr">
        <is>
          <t>2022</t>
        </is>
      </c>
      <c r="N317" s="1" t="inlineStr">
        <is>
          <t>О</t>
        </is>
      </c>
      <c r="O317" s="9" t="n">
        <v>7</v>
      </c>
      <c r="P317" s="1">
        <f>ROUNDUP(750*(1-$F$3),2)</f>
        <v/>
      </c>
      <c r="Q317" s="1" t="inlineStr">
        <is>
          <t> </t>
        </is>
      </c>
      <c r="R317" s="1" t="inlineStr">
        <is>
          <t>978-5-386-14811-9</t>
        </is>
      </c>
      <c r="S317" s="1" t="inlineStr">
        <is>
          <t>9785386148119</t>
        </is>
      </c>
      <c r="T317" s="9" t="n">
        <v>10</v>
      </c>
      <c r="U317" s="1">
        <f>ROUNDUP(681.82*(1-$F$3),2)</f>
        <v/>
      </c>
      <c r="V317" s="1" t="n">
        <v>351</v>
      </c>
      <c r="Y317" s="1" t="inlineStr">
        <is>
          <t>Трудности перевода</t>
        </is>
      </c>
      <c r="Z317" s="1" t="inlineStr">
        <is>
          <t>16+</t>
        </is>
      </c>
      <c r="AA317" s="12" t="n">
        <v>44719</v>
      </c>
      <c r="AB317" s="1" t="inlineStr">
        <is>
          <t>Художественная литература</t>
        </is>
      </c>
      <c r="AC317" s="1" t="inlineStr">
        <is>
          <t>Сентиментальная проза</t>
        </is>
      </c>
      <c r="AD317" s="1" t="inlineStr">
        <is>
          <t>Русский сентиментальный роман</t>
        </is>
      </c>
      <c r="AE317" s="1" t="inlineStr">
        <is>
          <t>газетная</t>
        </is>
      </c>
      <c r="AG317" s="1" t="n">
        <v>10461640</v>
      </c>
      <c r="AI317" s="1" t="inlineStr">
        <is>
          <t>4901990000</t>
        </is>
      </c>
    </row>
    <row r="318" customFormat="1" s="1">
      <c r="C318" s="1" t="inlineStr">
        <is>
          <t xml:space="preserve">10238980            </t>
        </is>
      </c>
      <c r="D318" s="1" t="inlineStr">
        <is>
          <t>New Horror</t>
        </is>
      </c>
      <c r="E318" s="1" t="inlineStr">
        <is>
          <t>Дом. Страндберг М.</t>
        </is>
      </c>
      <c r="F318" s="13" t="inlineStr">
        <is>
          <t>См.обл.</t>
        </is>
      </c>
      <c r="G318" s="1" t="inlineStr">
        <is>
          <t>Страндберг М.</t>
        </is>
      </c>
      <c r="H318" s="1" t="inlineStr">
        <is>
          <t>84х108/16</t>
        </is>
      </c>
      <c r="I318" s="1" t="n">
        <v>384</v>
      </c>
      <c r="J318" s="1" t="inlineStr">
        <is>
          <t>РИПОЛ Классик</t>
        </is>
      </c>
      <c r="K318" s="1" t="inlineStr">
        <is>
          <t>RUGRAM_РИПОЛ Классик</t>
        </is>
      </c>
      <c r="M318" s="1" t="inlineStr">
        <is>
          <t>2022</t>
        </is>
      </c>
      <c r="N318" s="1" t="inlineStr">
        <is>
          <t>П</t>
        </is>
      </c>
      <c r="O318" s="9" t="n">
        <v>8</v>
      </c>
      <c r="P318" s="1">
        <f>ROUNDUP(1250*(1-$F$3),2)</f>
        <v/>
      </c>
      <c r="Q318" s="1" t="inlineStr">
        <is>
          <t> </t>
        </is>
      </c>
      <c r="R318" s="1" t="inlineStr">
        <is>
          <t>978-5-386-14666-5</t>
        </is>
      </c>
      <c r="S318" s="1" t="inlineStr">
        <is>
          <t>9785386146665</t>
        </is>
      </c>
      <c r="T318" s="9" t="n">
        <v>22</v>
      </c>
      <c r="U318" s="1">
        <f>ROUNDUP(1024.59*(1-$F$3),2)</f>
        <v/>
      </c>
      <c r="V318" s="1" t="n">
        <v>422</v>
      </c>
      <c r="Y318" s="1" t="inlineStr">
        <is>
          <t>Дом</t>
        </is>
      </c>
      <c r="Z318" s="1" t="inlineStr">
        <is>
          <t>18+</t>
        </is>
      </c>
      <c r="AA318" s="12" t="n">
        <v>44623</v>
      </c>
      <c r="AB318" s="1" t="inlineStr">
        <is>
          <t>Художественная литература</t>
        </is>
      </c>
      <c r="AC318" s="1" t="inlineStr">
        <is>
          <t>Фантастика. Мистика. Ужасы</t>
        </is>
      </c>
      <c r="AD318" s="1" t="inlineStr">
        <is>
          <t>Мистика. Ужасы</t>
        </is>
      </c>
      <c r="AE318" s="1" t="inlineStr">
        <is>
          <t>офсетная</t>
        </is>
      </c>
      <c r="AG318" s="1" t="n">
        <v>10238980</v>
      </c>
      <c r="AI318" s="1" t="inlineStr">
        <is>
          <t>4901990000</t>
        </is>
      </c>
      <c r="AJ318" s="1" t="inlineStr">
        <is>
          <t>Зпв</t>
        </is>
      </c>
    </row>
    <row r="319" customFormat="1" s="1">
      <c r="C319" s="1" t="inlineStr">
        <is>
          <t xml:space="preserve">11027960            </t>
        </is>
      </c>
      <c r="D319" s="1" t="inlineStr">
        <is>
          <t>New Horror</t>
        </is>
      </c>
      <c r="E319" s="1" t="inlineStr">
        <is>
          <t>Килл крик. Томас С.</t>
        </is>
      </c>
      <c r="F319" s="13" t="inlineStr">
        <is>
          <t>См.обл.</t>
        </is>
      </c>
      <c r="G319" s="1" t="inlineStr">
        <is>
          <t>Томас С.</t>
        </is>
      </c>
      <c r="H319" s="1" t="inlineStr">
        <is>
          <t>84х108/32</t>
        </is>
      </c>
      <c r="I319" s="1" t="n">
        <v>592</v>
      </c>
      <c r="J319" s="1" t="inlineStr">
        <is>
          <t>РИПОЛ Классик</t>
        </is>
      </c>
      <c r="M319" s="1" t="inlineStr">
        <is>
          <t>2026</t>
        </is>
      </c>
      <c r="N319" s="1" t="inlineStr">
        <is>
          <t>П</t>
        </is>
      </c>
      <c r="O319" s="9" t="n">
        <v>6</v>
      </c>
      <c r="P319" s="1">
        <f>ROUNDUP(1100*(1-$F$3),2)</f>
        <v/>
      </c>
      <c r="Q319" s="1" t="inlineStr">
        <is>
          <t> </t>
        </is>
      </c>
      <c r="R319" s="1" t="inlineStr">
        <is>
          <t>978-5-386-15021-1</t>
        </is>
      </c>
      <c r="S319" s="1" t="inlineStr">
        <is>
          <t>9785386150211</t>
        </is>
      </c>
      <c r="T319" s="9" t="n">
        <v>22</v>
      </c>
      <c r="U319" s="1">
        <f>ROUNDUP(901.64*(1-$F$3),2)</f>
        <v/>
      </c>
      <c r="V319" s="1" t="n">
        <v>556</v>
      </c>
      <c r="Y319" s="1" t="inlineStr">
        <is>
          <t>Килл крик</t>
        </is>
      </c>
      <c r="Z319" s="1" t="inlineStr">
        <is>
          <t>18+</t>
        </is>
      </c>
      <c r="AA319" s="12" t="n">
        <v>45173</v>
      </c>
      <c r="AB319" s="1" t="inlineStr">
        <is>
          <t>Художественная литература</t>
        </is>
      </c>
      <c r="AC319" s="1" t="inlineStr">
        <is>
          <t>Фантастика. Мистика. Ужасы</t>
        </is>
      </c>
      <c r="AD319" s="1" t="inlineStr">
        <is>
          <t>Мистика. Ужасы</t>
        </is>
      </c>
      <c r="AE319" s="1" t="inlineStr">
        <is>
          <t>офсетная</t>
        </is>
      </c>
      <c r="AG319" s="1" t="n">
        <v>11027960</v>
      </c>
      <c r="AI319" s="1" t="inlineStr">
        <is>
          <t>4901990000</t>
        </is>
      </c>
      <c r="AJ319" s="1" t="inlineStr">
        <is>
          <t>Зпв</t>
        </is>
      </c>
    </row>
    <row r="320" customFormat="1" s="1">
      <c r="C320" s="1" t="inlineStr">
        <is>
          <t xml:space="preserve">11420000            </t>
        </is>
      </c>
      <c r="D320" s="1" t="inlineStr">
        <is>
          <t>New Horror</t>
        </is>
      </c>
      <c r="E320" s="1" t="inlineStr">
        <is>
          <t>Лес нас найдет. Лайонс М.</t>
        </is>
      </c>
      <c r="F320" s="13" t="inlineStr">
        <is>
          <t>См.обл.</t>
        </is>
      </c>
      <c r="G320" s="1" t="inlineStr">
        <is>
          <t>Лайонс М.</t>
        </is>
      </c>
      <c r="H320" s="1" t="inlineStr">
        <is>
          <t>84х108/32</t>
        </is>
      </c>
      <c r="I320" s="1" t="n">
        <v>384</v>
      </c>
      <c r="J320" s="1" t="inlineStr">
        <is>
          <t>РИПОЛ Классик</t>
        </is>
      </c>
      <c r="M320" s="1" t="inlineStr">
        <is>
          <t>2025</t>
        </is>
      </c>
      <c r="N320" s="1" t="inlineStr">
        <is>
          <t>П</t>
        </is>
      </c>
      <c r="O320" s="9" t="n">
        <v>5</v>
      </c>
      <c r="P320" s="1">
        <f>ROUNDUP(1210*(1-$F$3),2)</f>
        <v/>
      </c>
      <c r="Q320" s="1" t="inlineStr">
        <is>
          <t> </t>
        </is>
      </c>
      <c r="R320" s="1" t="inlineStr">
        <is>
          <t>978-5-386-15122-5</t>
        </is>
      </c>
      <c r="S320" s="1" t="inlineStr">
        <is>
          <t>9785386151225</t>
        </is>
      </c>
      <c r="T320" s="9" t="n">
        <v>22</v>
      </c>
      <c r="U320" s="1">
        <f>ROUNDUP(991.8*(1-$F$3),2)</f>
        <v/>
      </c>
      <c r="V320" s="1" t="n">
        <v>417</v>
      </c>
      <c r="Y320" s="1" t="inlineStr">
        <is>
          <t>Лес нас найдет</t>
        </is>
      </c>
      <c r="Z320" s="1" t="inlineStr">
        <is>
          <t>18+</t>
        </is>
      </c>
      <c r="AA320" s="12" t="n">
        <v>45526</v>
      </c>
      <c r="AB320" s="1" t="inlineStr">
        <is>
          <t>Художественная литература</t>
        </is>
      </c>
      <c r="AC320" s="1" t="inlineStr">
        <is>
          <t>Детективы. Боевики. Триллеры</t>
        </is>
      </c>
      <c r="AD320" s="1" t="inlineStr">
        <is>
          <t>Триллеры</t>
        </is>
      </c>
      <c r="AE320" s="1" t="inlineStr">
        <is>
          <t>офсетная</t>
        </is>
      </c>
      <c r="AG320" s="1" t="n">
        <v>11420000</v>
      </c>
      <c r="AI320" s="1" t="inlineStr">
        <is>
          <t>4901990000</t>
        </is>
      </c>
      <c r="AJ320" s="1" t="inlineStr">
        <is>
          <t>Зпв</t>
        </is>
      </c>
    </row>
    <row r="321" customFormat="1" s="1">
      <c r="C321" s="1" t="inlineStr">
        <is>
          <t xml:space="preserve">11254910            </t>
        </is>
      </c>
      <c r="D321" s="1" t="inlineStr">
        <is>
          <t>New Horror</t>
        </is>
      </c>
      <c r="E321" s="1" t="inlineStr">
        <is>
          <t>Ночница: коллекция ужасов. Мамон А.В</t>
        </is>
      </c>
      <c r="F321" s="13" t="inlineStr">
        <is>
          <t>См.обл.</t>
        </is>
      </c>
      <c r="G321" s="1" t="inlineStr">
        <is>
          <t>Мамон А.В</t>
        </is>
      </c>
      <c r="H321" s="1" t="inlineStr">
        <is>
          <t>84х108/32</t>
        </is>
      </c>
      <c r="I321" s="1" t="n">
        <v>384</v>
      </c>
      <c r="J321" s="1" t="inlineStr">
        <is>
          <t>РИПОЛ Классик</t>
        </is>
      </c>
      <c r="M321" s="1" t="inlineStr">
        <is>
          <t>2025</t>
        </is>
      </c>
      <c r="N321" s="1" t="inlineStr">
        <is>
          <t>П</t>
        </is>
      </c>
      <c r="O321" s="9" t="n">
        <v>10</v>
      </c>
      <c r="P321" s="1">
        <f>ROUNDUP(950*(1-$F$3),2)</f>
        <v/>
      </c>
      <c r="Q321" s="1" t="inlineStr">
        <is>
          <t> </t>
        </is>
      </c>
      <c r="R321" s="1" t="inlineStr">
        <is>
          <t>978-5-386-15174-4</t>
        </is>
      </c>
      <c r="S321" s="1" t="inlineStr">
        <is>
          <t>9785386151744</t>
        </is>
      </c>
      <c r="T321" s="9" t="n">
        <v>10</v>
      </c>
      <c r="U321" s="1">
        <f>ROUNDUP(863.64*(1-$F$3),2)</f>
        <v/>
      </c>
      <c r="V321" s="1" t="n">
        <v>382</v>
      </c>
      <c r="Y321" s="1" t="inlineStr">
        <is>
          <t>Ночница: коллекция ужасов</t>
        </is>
      </c>
      <c r="Z321" s="1" t="inlineStr">
        <is>
          <t>16+</t>
        </is>
      </c>
      <c r="AA321" s="12" t="n">
        <v>45383</v>
      </c>
      <c r="AB321" s="1" t="inlineStr">
        <is>
          <t>Художественная литература</t>
        </is>
      </c>
      <c r="AC321" s="1" t="inlineStr">
        <is>
          <t>Фантастика. Мистика. Ужасы</t>
        </is>
      </c>
      <c r="AD321" s="1" t="inlineStr">
        <is>
          <t>Мистика. Ужасы</t>
        </is>
      </c>
      <c r="AE321" s="1" t="inlineStr">
        <is>
          <t>офсетная</t>
        </is>
      </c>
      <c r="AG321" s="1" t="n">
        <v>11254910</v>
      </c>
      <c r="AI321" s="1" t="inlineStr">
        <is>
          <t>4901990000</t>
        </is>
      </c>
      <c r="AJ321" s="1" t="inlineStr">
        <is>
          <t>Зпв</t>
        </is>
      </c>
    </row>
    <row r="322" customFormat="1" s="1">
      <c r="C322" s="1" t="inlineStr">
        <is>
          <t xml:space="preserve">11255070            </t>
        </is>
      </c>
      <c r="D322" s="1" t="inlineStr">
        <is>
          <t>New Horror</t>
        </is>
      </c>
      <c r="E322" s="1" t="inlineStr">
        <is>
          <t>Черные зубы. Хоу К.</t>
        </is>
      </c>
      <c r="F322" s="13" t="inlineStr">
        <is>
          <t>См.обл.</t>
        </is>
      </c>
      <c r="G322" s="1" t="inlineStr">
        <is>
          <t>Хоу К.</t>
        </is>
      </c>
      <c r="H322" s="1" t="inlineStr">
        <is>
          <t>84х108/32</t>
        </is>
      </c>
      <c r="I322" s="1" t="n">
        <v>192</v>
      </c>
      <c r="J322" s="1" t="inlineStr">
        <is>
          <t>РИПОЛ Классик</t>
        </is>
      </c>
      <c r="M322" s="1" t="inlineStr">
        <is>
          <t>2024</t>
        </is>
      </c>
      <c r="N322" s="1" t="inlineStr">
        <is>
          <t>П</t>
        </is>
      </c>
      <c r="O322" s="9" t="n">
        <v>16</v>
      </c>
      <c r="P322" s="1">
        <f>ROUNDUP(760*(1-$F$3),2)</f>
        <v/>
      </c>
      <c r="Q322" s="1" t="inlineStr">
        <is>
          <t> </t>
        </is>
      </c>
      <c r="R322" s="1" t="inlineStr">
        <is>
          <t>978-5-386-15024-2</t>
        </is>
      </c>
      <c r="S322" s="1" t="inlineStr">
        <is>
          <t>9785386150242</t>
        </is>
      </c>
      <c r="T322" s="9" t="n">
        <v>22</v>
      </c>
      <c r="U322" s="1">
        <f>ROUNDUP(622.95*(1-$F$3),2)</f>
        <v/>
      </c>
      <c r="V322" s="1" t="n">
        <v>218</v>
      </c>
      <c r="Y322" s="1" t="inlineStr">
        <is>
          <t>Черные зубы</t>
        </is>
      </c>
      <c r="Z322" s="1" t="inlineStr">
        <is>
          <t>18+</t>
        </is>
      </c>
      <c r="AA322" s="12" t="n">
        <v>45383</v>
      </c>
      <c r="AB322" s="1" t="inlineStr">
        <is>
          <t>Художественная литература</t>
        </is>
      </c>
      <c r="AC322" s="1" t="inlineStr">
        <is>
          <t>Фантастика. Мистика. Ужасы</t>
        </is>
      </c>
      <c r="AD322" s="1" t="inlineStr">
        <is>
          <t>Мистика. Ужасы</t>
        </is>
      </c>
      <c r="AE322" s="1" t="inlineStr">
        <is>
          <t>офсетная</t>
        </is>
      </c>
      <c r="AG322" s="1" t="n">
        <v>11255070</v>
      </c>
      <c r="AI322" s="1" t="inlineStr">
        <is>
          <t>4901990000</t>
        </is>
      </c>
      <c r="AJ322" s="1" t="inlineStr">
        <is>
          <t>Зпв</t>
        </is>
      </c>
    </row>
    <row r="323" customFormat="1" s="1">
      <c r="C323" s="1" t="inlineStr">
        <is>
          <t xml:space="preserve">9349270             </t>
        </is>
      </c>
      <c r="D323" s="1" t="inlineStr">
        <is>
          <t>Pocket&amp;Travel</t>
        </is>
      </c>
      <c r="E323" s="1" t="inlineStr">
        <is>
          <t>1793. История одного убийства: роман. Натт-о-Даг Н.</t>
        </is>
      </c>
      <c r="F323" s="13" t="inlineStr">
        <is>
          <t>См.обл.</t>
        </is>
      </c>
      <c r="G323" s="1" t="inlineStr">
        <is>
          <t>Натт-о-Даг Н.</t>
        </is>
      </c>
      <c r="H323" s="1" t="inlineStr">
        <is>
          <t>76х100/32</t>
        </is>
      </c>
      <c r="I323" s="1" t="n">
        <v>544</v>
      </c>
      <c r="J323" s="1" t="inlineStr">
        <is>
          <t>РИПОЛ Классик</t>
        </is>
      </c>
      <c r="M323" s="1" t="inlineStr">
        <is>
          <t>2026</t>
        </is>
      </c>
      <c r="N323" s="1" t="inlineStr">
        <is>
          <t>О</t>
        </is>
      </c>
      <c r="O323" s="9" t="n">
        <v>8</v>
      </c>
      <c r="P323" s="1">
        <f>ROUNDUP(730*(1-$F$3),2)</f>
        <v/>
      </c>
      <c r="Q323" s="1" t="inlineStr">
        <is>
          <t> </t>
        </is>
      </c>
      <c r="R323" s="1" t="inlineStr">
        <is>
          <t>978-5-386-13621-5</t>
        </is>
      </c>
      <c r="S323" s="1" t="inlineStr">
        <is>
          <t>9785386136215</t>
        </is>
      </c>
      <c r="T323" s="9" t="n">
        <v>22</v>
      </c>
      <c r="U323" s="1">
        <f>ROUNDUP(598.36*(1-$F$3),2)</f>
        <v/>
      </c>
      <c r="V323" s="1" t="n">
        <v>259</v>
      </c>
      <c r="Y323" s="1" t="inlineStr">
        <is>
          <t>1793. История одного убийства: роман</t>
        </is>
      </c>
      <c r="Z323" s="1" t="inlineStr">
        <is>
          <t>18+</t>
        </is>
      </c>
      <c r="AA323" s="12" t="n">
        <v>43934</v>
      </c>
      <c r="AB323" s="1" t="inlineStr">
        <is>
          <t>Художественная литература</t>
        </is>
      </c>
      <c r="AC323" s="1" t="inlineStr">
        <is>
          <t>Детективы. Боевики. Триллеры</t>
        </is>
      </c>
      <c r="AD323" s="1" t="inlineStr">
        <is>
          <t>Зарубежный детектив</t>
        </is>
      </c>
      <c r="AE323" s="1" t="inlineStr">
        <is>
          <t>газетная</t>
        </is>
      </c>
      <c r="AG323" s="1" t="n">
        <v>9349270</v>
      </c>
      <c r="AI323" s="1" t="inlineStr">
        <is>
          <t>4901990000</t>
        </is>
      </c>
    </row>
    <row r="324" customFormat="1" s="1">
      <c r="C324" s="1" t="inlineStr">
        <is>
          <t xml:space="preserve">9709500             </t>
        </is>
      </c>
      <c r="D324" s="1" t="inlineStr">
        <is>
          <t>Pocket&amp;Travel</t>
        </is>
      </c>
      <c r="E324" s="1" t="inlineStr">
        <is>
          <t>1794. Натт-о-Даг Н.</t>
        </is>
      </c>
      <c r="F324" s="13" t="inlineStr">
        <is>
          <t>См.обл.</t>
        </is>
      </c>
      <c r="G324" s="1" t="inlineStr">
        <is>
          <t>Натт-о-Даг Н.</t>
        </is>
      </c>
      <c r="H324" s="1" t="inlineStr">
        <is>
          <t>76х100/32</t>
        </is>
      </c>
      <c r="I324" s="1" t="n">
        <v>640</v>
      </c>
      <c r="J324" s="1" t="inlineStr">
        <is>
          <t>РИПОЛ Классик</t>
        </is>
      </c>
      <c r="M324" s="1" t="inlineStr">
        <is>
          <t>2022</t>
        </is>
      </c>
      <c r="N324" s="1" t="inlineStr">
        <is>
          <t>О</t>
        </is>
      </c>
      <c r="O324" s="9" t="n">
        <v>8</v>
      </c>
      <c r="P324" s="1">
        <f>ROUNDUP(610*(1-$F$3),2)</f>
        <v/>
      </c>
      <c r="Q324" s="1" t="inlineStr">
        <is>
          <t> </t>
        </is>
      </c>
      <c r="R324" s="1" t="inlineStr">
        <is>
          <t>978-5-386-14222-3</t>
        </is>
      </c>
      <c r="S324" s="1" t="inlineStr">
        <is>
          <t>9785386142223</t>
        </is>
      </c>
      <c r="T324" s="9" t="n">
        <v>10</v>
      </c>
      <c r="U324" s="1">
        <f>ROUNDUP(554.55*(1-$F$3),2)</f>
        <v/>
      </c>
      <c r="V324" s="1" t="n">
        <v>323</v>
      </c>
      <c r="Y324" s="1" t="inlineStr">
        <is>
          <t>1794</t>
        </is>
      </c>
      <c r="Z324" s="1" t="inlineStr">
        <is>
          <t>18+</t>
        </is>
      </c>
      <c r="AA324" s="12" t="n">
        <v>44347</v>
      </c>
      <c r="AB324" s="1" t="inlineStr">
        <is>
          <t>Художественная литература</t>
        </is>
      </c>
      <c r="AC324" s="1" t="inlineStr">
        <is>
          <t>Детективы. Боевики. Триллеры</t>
        </is>
      </c>
      <c r="AD324" s="1" t="inlineStr">
        <is>
          <t>Зарубежный детектив</t>
        </is>
      </c>
      <c r="AE324" s="1" t="inlineStr">
        <is>
          <t>газетная</t>
        </is>
      </c>
      <c r="AG324" s="1" t="n">
        <v>9709500</v>
      </c>
      <c r="AI324" s="1" t="inlineStr">
        <is>
          <t>4901990000</t>
        </is>
      </c>
      <c r="AJ324" s="1" t="inlineStr">
        <is>
          <t>Зпв</t>
        </is>
      </c>
    </row>
    <row r="325" customFormat="1" s="1">
      <c r="C325" s="1" t="inlineStr">
        <is>
          <t>210549</t>
        </is>
      </c>
      <c r="D325" s="1" t="inlineStr">
        <is>
          <t>Pocket&amp;Travel</t>
        </is>
      </c>
      <c r="E325" s="1" t="inlineStr">
        <is>
          <t xml:space="preserve">24 закона обольщения для достижения власти (обл). Грин Р.                                           </t>
        </is>
      </c>
      <c r="F325" s="13" t="inlineStr">
        <is>
          <t>См.обл.</t>
        </is>
      </c>
      <c r="G325" s="1" t="inlineStr">
        <is>
          <t xml:space="preserve">Грин Р.                                           </t>
        </is>
      </c>
      <c r="H325" s="1" t="inlineStr">
        <is>
          <t>76х100/32</t>
        </is>
      </c>
      <c r="I325" s="1" t="n">
        <v>256</v>
      </c>
      <c r="J325" s="1" t="inlineStr">
        <is>
          <t>РИПОЛ Классик</t>
        </is>
      </c>
      <c r="M325" s="1" t="inlineStr">
        <is>
          <t>2026</t>
        </is>
      </c>
      <c r="N325" s="1" t="inlineStr">
        <is>
          <t>О</t>
        </is>
      </c>
      <c r="O325" s="9" t="n">
        <v>8</v>
      </c>
      <c r="P325" s="1">
        <f>ROUNDUP(590*(1-$F$3),2)</f>
        <v/>
      </c>
      <c r="Q325" s="1" t="inlineStr">
        <is>
          <t> </t>
        </is>
      </c>
      <c r="R325" s="1" t="inlineStr">
        <is>
          <t>978-5-386-04114-4</t>
        </is>
      </c>
      <c r="S325" s="1" t="inlineStr">
        <is>
          <t>9785386041144</t>
        </is>
      </c>
      <c r="T325" s="9" t="n">
        <v>10</v>
      </c>
      <c r="U325" s="1">
        <f>ROUNDUP(536.36*(1-$F$3),2)</f>
        <v/>
      </c>
      <c r="V325" s="1" t="n">
        <v>129</v>
      </c>
      <c r="W325" s="1" t="inlineStr">
        <is>
          <t xml:space="preserve">017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325" s="1" t="inlineStr">
        <is>
          <t xml:space="preserve">Популярная психология                                                                                                           </t>
        </is>
      </c>
      <c r="Y325" s="1" t="inlineStr">
        <is>
          <t>24 закона обольщения для достижения власти (обл)</t>
        </is>
      </c>
      <c r="Z325" s="1" t="inlineStr">
        <is>
          <t>16+</t>
        </is>
      </c>
      <c r="AA325" s="12" t="n">
        <v>41275</v>
      </c>
      <c r="AB325" s="1" t="inlineStr">
        <is>
          <t>Гуманитарные науки</t>
        </is>
      </c>
      <c r="AC325" s="1" t="inlineStr">
        <is>
          <t>Психология</t>
        </is>
      </c>
      <c r="AD325" s="1" t="inlineStr">
        <is>
          <t>Социальная психология. Психология отношений. Коммуникации</t>
        </is>
      </c>
      <c r="AE325" s="1" t="inlineStr">
        <is>
          <t>офсетная</t>
        </is>
      </c>
      <c r="AG325" s="1" t="n">
        <v>4528530</v>
      </c>
      <c r="AI325" s="1" t="inlineStr">
        <is>
          <t>4901990000</t>
        </is>
      </c>
    </row>
    <row r="326" customFormat="1" s="1">
      <c r="C326" s="1" t="inlineStr">
        <is>
          <t xml:space="preserve">10373390            </t>
        </is>
      </c>
      <c r="D326" s="1" t="inlineStr">
        <is>
          <t>Pocket&amp;Travel</t>
        </is>
      </c>
      <c r="E326" s="1" t="inlineStr">
        <is>
          <t>33 стратегии войны. Грин Р.</t>
        </is>
      </c>
      <c r="F326" s="13" t="inlineStr">
        <is>
          <t>См.обл.</t>
        </is>
      </c>
      <c r="G326" s="1" t="inlineStr">
        <is>
          <t>Грин Р.</t>
        </is>
      </c>
      <c r="H326" s="1" t="inlineStr">
        <is>
          <t>80х100/32</t>
        </is>
      </c>
      <c r="I326" s="1" t="n">
        <v>320</v>
      </c>
      <c r="J326" s="1" t="inlineStr">
        <is>
          <t>РИПОЛ Классик</t>
        </is>
      </c>
      <c r="M326" s="1" t="inlineStr">
        <is>
          <t>2026</t>
        </is>
      </c>
      <c r="N326" s="1" t="inlineStr">
        <is>
          <t>О</t>
        </is>
      </c>
      <c r="O326" s="9" t="n">
        <v>16</v>
      </c>
      <c r="P326" s="1">
        <f>ROUNDUP(499*(1-$F$3),2)</f>
        <v/>
      </c>
      <c r="Q326" s="1" t="inlineStr">
        <is>
          <t> </t>
        </is>
      </c>
      <c r="R326" s="1" t="inlineStr">
        <is>
          <t>978-5-386-14730-3</t>
        </is>
      </c>
      <c r="S326" s="1" t="inlineStr">
        <is>
          <t>9785386147303</t>
        </is>
      </c>
      <c r="T326" s="9" t="n">
        <v>10</v>
      </c>
      <c r="U326" s="1">
        <f>ROUNDUP(453.64*(1-$F$3),2)</f>
        <v/>
      </c>
      <c r="V326" s="1" t="n">
        <v>158</v>
      </c>
      <c r="Y326" s="1" t="inlineStr">
        <is>
          <t>33 стратегии войны</t>
        </is>
      </c>
      <c r="Z326" s="1" t="inlineStr">
        <is>
          <t>16+</t>
        </is>
      </c>
      <c r="AA326" s="12" t="n">
        <v>44659</v>
      </c>
      <c r="AB326" s="1" t="inlineStr">
        <is>
          <t>Гуманитарные науки</t>
        </is>
      </c>
      <c r="AC326" s="1" t="inlineStr">
        <is>
          <t>Психология</t>
        </is>
      </c>
      <c r="AD326" s="1" t="inlineStr">
        <is>
          <t>Социальная психология. Психология отношений. Коммуникации</t>
        </is>
      </c>
      <c r="AE326" s="1" t="inlineStr">
        <is>
          <t>газетная</t>
        </is>
      </c>
      <c r="AG326" s="1" t="n">
        <v>10373390</v>
      </c>
      <c r="AI326" s="1" t="inlineStr">
        <is>
          <t>4901990000</t>
        </is>
      </c>
    </row>
    <row r="327" customFormat="1" s="1">
      <c r="C327" s="1" t="inlineStr">
        <is>
          <t xml:space="preserve">8559520             </t>
        </is>
      </c>
      <c r="D327" s="1" t="inlineStr">
        <is>
          <t>Pocket&amp;Travel</t>
        </is>
      </c>
      <c r="E327" s="1" t="inlineStr">
        <is>
          <t>48 законов власти (краткая версия). Грин Р.</t>
        </is>
      </c>
      <c r="F327" s="13" t="inlineStr">
        <is>
          <t>См.обл.</t>
        </is>
      </c>
      <c r="G327" s="1" t="inlineStr">
        <is>
          <t>Грин Р.</t>
        </is>
      </c>
      <c r="H327" s="1" t="inlineStr">
        <is>
          <t>76х100/32</t>
        </is>
      </c>
      <c r="I327" s="1" t="n">
        <v>304</v>
      </c>
      <c r="J327" s="1" t="inlineStr">
        <is>
          <t>РИПОЛ Классик</t>
        </is>
      </c>
      <c r="M327" s="1" t="inlineStr">
        <is>
          <t>2025</t>
        </is>
      </c>
      <c r="N327" s="1" t="inlineStr">
        <is>
          <t>О</t>
        </is>
      </c>
      <c r="O327" s="9" t="n">
        <v>8</v>
      </c>
      <c r="P327" s="1">
        <f>ROUNDUP(640*(1-$F$3),2)</f>
        <v/>
      </c>
      <c r="Q327" s="1" t="inlineStr">
        <is>
          <t> </t>
        </is>
      </c>
      <c r="R327" s="1" t="inlineStr">
        <is>
          <t>978-5-386-10699-7</t>
        </is>
      </c>
      <c r="S327" s="1" t="inlineStr">
        <is>
          <t>9785386106997</t>
        </is>
      </c>
      <c r="T327" s="9" t="n">
        <v>10</v>
      </c>
      <c r="U327" s="1">
        <f>ROUNDUP(581.82*(1-$F$3),2)</f>
        <v/>
      </c>
      <c r="V327" s="1" t="n">
        <v>155</v>
      </c>
      <c r="Y327" s="1" t="inlineStr">
        <is>
          <t>48 законов власти (краткая версия)</t>
        </is>
      </c>
      <c r="Z327" s="1" t="inlineStr">
        <is>
          <t>16+</t>
        </is>
      </c>
      <c r="AA327" s="12" t="n">
        <v>43196</v>
      </c>
      <c r="AB327" s="1" t="inlineStr">
        <is>
          <t>Общественные науки</t>
        </is>
      </c>
      <c r="AC327" s="1" t="inlineStr">
        <is>
          <t>Политика</t>
        </is>
      </c>
      <c r="AD327" s="1" t="inlineStr">
        <is>
          <t>Государственное управление. Власть</t>
        </is>
      </c>
      <c r="AE327" s="1" t="inlineStr">
        <is>
          <t>газетная</t>
        </is>
      </c>
      <c r="AG327" s="1" t="n">
        <v>8559520</v>
      </c>
      <c r="AI327" s="1" t="inlineStr">
        <is>
          <t>4901990000</t>
        </is>
      </c>
    </row>
    <row r="328" customFormat="1" s="1">
      <c r="C328" s="1" t="inlineStr">
        <is>
          <t xml:space="preserve">10373400            </t>
        </is>
      </c>
      <c r="D328" s="1" t="inlineStr">
        <is>
          <t>Pocket&amp;Travel</t>
        </is>
      </c>
      <c r="E328" s="1" t="inlineStr">
        <is>
          <t>48 законов власти (краткая версия). Грин Р.</t>
        </is>
      </c>
      <c r="F328" s="13" t="inlineStr">
        <is>
          <t>См.обл.</t>
        </is>
      </c>
      <c r="G328" s="1" t="inlineStr">
        <is>
          <t>Грин Р.</t>
        </is>
      </c>
      <c r="H328" s="1" t="inlineStr">
        <is>
          <t>76х100/32</t>
        </is>
      </c>
      <c r="I328" s="1" t="n">
        <v>304</v>
      </c>
      <c r="J328" s="1" t="inlineStr">
        <is>
          <t>РИПОЛ Классик</t>
        </is>
      </c>
      <c r="M328" s="1" t="inlineStr">
        <is>
          <t>2026</t>
        </is>
      </c>
      <c r="N328" s="1" t="inlineStr">
        <is>
          <t>О</t>
        </is>
      </c>
      <c r="O328" s="9" t="n">
        <v>16</v>
      </c>
      <c r="P328" s="1">
        <f>ROUNDUP(610*(1-$F$3),2)</f>
        <v/>
      </c>
      <c r="Q328" s="1" t="inlineStr">
        <is>
          <t> </t>
        </is>
      </c>
      <c r="R328" s="1" t="inlineStr">
        <is>
          <t>978-5-386-14729-7</t>
        </is>
      </c>
      <c r="S328" s="1" t="inlineStr">
        <is>
          <t>9785386147297</t>
        </is>
      </c>
      <c r="T328" s="9" t="n">
        <v>10</v>
      </c>
      <c r="U328" s="1">
        <f>ROUNDUP(554.55*(1-$F$3),2)</f>
        <v/>
      </c>
      <c r="V328" s="1" t="n">
        <v>144</v>
      </c>
      <c r="Y328" s="1" t="inlineStr">
        <is>
          <t>48 законов власти (краткая версия)</t>
        </is>
      </c>
      <c r="Z328" s="1" t="inlineStr">
        <is>
          <t>16+</t>
        </is>
      </c>
      <c r="AA328" s="12" t="n">
        <v>44659</v>
      </c>
      <c r="AB328" s="1" t="inlineStr">
        <is>
          <t>Общественные науки</t>
        </is>
      </c>
      <c r="AC328" s="1" t="inlineStr">
        <is>
          <t>Политика</t>
        </is>
      </c>
      <c r="AD328" s="1" t="inlineStr">
        <is>
          <t>Государственное управление. Власть</t>
        </is>
      </c>
      <c r="AE328" s="1" t="inlineStr">
        <is>
          <t>газетная</t>
        </is>
      </c>
      <c r="AG328" s="1" t="n">
        <v>10373400</v>
      </c>
      <c r="AI328" s="1" t="inlineStr">
        <is>
          <t>4901990000</t>
        </is>
      </c>
    </row>
    <row r="329" customFormat="1" s="1">
      <c r="C329" s="1" t="inlineStr">
        <is>
          <t xml:space="preserve">10499720            </t>
        </is>
      </c>
      <c r="D329" s="1" t="inlineStr">
        <is>
          <t>Pocket&amp;Travel</t>
        </is>
      </c>
      <c r="E329" s="1" t="inlineStr">
        <is>
          <t>Hi-Fi. Хорнби Н</t>
        </is>
      </c>
      <c r="F329" s="13" t="inlineStr">
        <is>
          <t>См.обл.</t>
        </is>
      </c>
      <c r="G329" s="1" t="inlineStr">
        <is>
          <t>Хорнби Н</t>
        </is>
      </c>
      <c r="H329" s="1" t="inlineStr">
        <is>
          <t>76х100/32</t>
        </is>
      </c>
      <c r="I329" s="1" t="n">
        <v>288</v>
      </c>
      <c r="J329" s="1" t="inlineStr">
        <is>
          <t>РИПОЛ Классик</t>
        </is>
      </c>
      <c r="M329" s="1" t="inlineStr">
        <is>
          <t>2022</t>
        </is>
      </c>
      <c r="N329" s="1" t="inlineStr">
        <is>
          <t>О</t>
        </is>
      </c>
      <c r="O329" s="9" t="n">
        <v>12</v>
      </c>
      <c r="P329" s="1">
        <f>ROUNDUP(550*(1-$F$3),2)</f>
        <v/>
      </c>
      <c r="Q329" s="1" t="inlineStr">
        <is>
          <t> </t>
        </is>
      </c>
      <c r="R329" s="1" t="inlineStr">
        <is>
          <t>978-5-386-14780-8</t>
        </is>
      </c>
      <c r="S329" s="1" t="inlineStr">
        <is>
          <t>9785386147808</t>
        </is>
      </c>
      <c r="T329" s="9" t="n">
        <v>10</v>
      </c>
      <c r="U329" s="1">
        <f>ROUNDUP(500*(1-$F$3),2)</f>
        <v/>
      </c>
      <c r="V329" s="1" t="n">
        <v>148</v>
      </c>
      <c r="Y329" s="1" t="inlineStr">
        <is>
          <t>Hi-Fi</t>
        </is>
      </c>
      <c r="Z329" s="1" t="inlineStr">
        <is>
          <t>16+</t>
        </is>
      </c>
      <c r="AA329" s="12" t="n">
        <v>44769</v>
      </c>
      <c r="AB329" s="1" t="inlineStr">
        <is>
          <t>Художественная литература</t>
        </is>
      </c>
      <c r="AC329" s="1" t="inlineStr">
        <is>
          <t>Зарубежная литература</t>
        </is>
      </c>
      <c r="AD329" s="1" t="inlineStr">
        <is>
          <t>Европейская литература</t>
        </is>
      </c>
      <c r="AE329" s="1" t="inlineStr">
        <is>
          <t>офсетная</t>
        </is>
      </c>
      <c r="AG329" s="1" t="n">
        <v>10499720</v>
      </c>
      <c r="AI329" s="1" t="inlineStr">
        <is>
          <t>4901990000</t>
        </is>
      </c>
      <c r="AJ329" s="1" t="inlineStr">
        <is>
          <t>Зпв</t>
        </is>
      </c>
    </row>
    <row r="330" customFormat="1" s="1">
      <c r="C330" s="1" t="inlineStr">
        <is>
          <t xml:space="preserve">9298700             </t>
        </is>
      </c>
      <c r="D330" s="1" t="inlineStr">
        <is>
          <t>Pocket&amp;Travel</t>
        </is>
      </c>
      <c r="E330" s="1" t="inlineStr">
        <is>
          <t>Narconomics: Преступный синдикат как успешная бизнес-модель. Уэйнрайт Т.</t>
        </is>
      </c>
      <c r="F330" s="13" t="inlineStr">
        <is>
          <t>См.обл.</t>
        </is>
      </c>
      <c r="G330" s="1" t="inlineStr">
        <is>
          <t>Уэйнрайт Т.</t>
        </is>
      </c>
      <c r="H330" s="1" t="inlineStr">
        <is>
          <t>76х100/32</t>
        </is>
      </c>
      <c r="I330" s="1" t="n">
        <v>416</v>
      </c>
      <c r="J330" s="1" t="inlineStr">
        <is>
          <t>РИПОЛ Классик</t>
        </is>
      </c>
      <c r="K330" s="1" t="inlineStr">
        <is>
          <t>Пальмира</t>
        </is>
      </c>
      <c r="M330" s="1" t="inlineStr">
        <is>
          <t>2022</t>
        </is>
      </c>
      <c r="N330" s="1" t="inlineStr">
        <is>
          <t>О</t>
        </is>
      </c>
      <c r="O330" s="9" t="n">
        <v>7</v>
      </c>
      <c r="P330" s="1">
        <f>ROUNDUP(600*(1-$F$3),2)</f>
        <v/>
      </c>
      <c r="Q330" s="1" t="inlineStr">
        <is>
          <t> </t>
        </is>
      </c>
      <c r="R330" s="1" t="inlineStr">
        <is>
          <t>978-5-386-12809-8</t>
        </is>
      </c>
      <c r="S330" s="1" t="inlineStr">
        <is>
          <t>9785386128098</t>
        </is>
      </c>
      <c r="T330" s="9" t="n">
        <v>22</v>
      </c>
      <c r="U330" s="1">
        <f>ROUNDUP(491.8*(1-$F$3),2)</f>
        <v/>
      </c>
      <c r="V330" s="1" t="n">
        <v>209</v>
      </c>
      <c r="Y330" s="1" t="inlineStr">
        <is>
          <t>Narconomics: Преступный синдикат как успешная бизнес-модель</t>
        </is>
      </c>
      <c r="Z330" s="1" t="inlineStr">
        <is>
          <t>16+</t>
        </is>
      </c>
      <c r="AA330" s="12" t="n">
        <v>43850</v>
      </c>
      <c r="AB330" s="1" t="inlineStr">
        <is>
          <t>Экономика. Экономические науки</t>
        </is>
      </c>
      <c r="AC330" s="1" t="inlineStr">
        <is>
          <t>Бизнес.  Предпринимательство</t>
        </is>
      </c>
      <c r="AD330" s="1" t="inlineStr">
        <is>
          <t>Популярная литература по бизнесу</t>
        </is>
      </c>
      <c r="AE330" s="1" t="inlineStr">
        <is>
          <t>газетная</t>
        </is>
      </c>
      <c r="AG330" s="1" t="n">
        <v>9298700</v>
      </c>
      <c r="AI330" s="1" t="inlineStr">
        <is>
          <t>4901990000</t>
        </is>
      </c>
      <c r="AJ330" s="1" t="inlineStr">
        <is>
          <t>Зпв</t>
        </is>
      </c>
    </row>
    <row r="331" customFormat="1" s="1">
      <c r="C331" s="1" t="inlineStr">
        <is>
          <t xml:space="preserve">11116440            </t>
        </is>
      </c>
      <c r="D331" s="1" t="inlineStr">
        <is>
          <t>Pocket&amp;Travel</t>
        </is>
      </c>
      <c r="E331" s="1" t="inlineStr">
        <is>
          <t>Антирак. Новый образ жизни. Серван-Шрейбер Д.</t>
        </is>
      </c>
      <c r="F331" s="13" t="inlineStr">
        <is>
          <t>См.обл.</t>
        </is>
      </c>
      <c r="G331" s="1" t="inlineStr">
        <is>
          <t>Серван-Шрейбер Д.</t>
        </is>
      </c>
      <c r="H331" s="1" t="inlineStr">
        <is>
          <t>76х100/32</t>
        </is>
      </c>
      <c r="I331" s="1" t="n">
        <v>528</v>
      </c>
      <c r="J331" s="1" t="inlineStr">
        <is>
          <t>РИПОЛ Классик</t>
        </is>
      </c>
      <c r="M331" s="1" t="inlineStr">
        <is>
          <t>2026</t>
        </is>
      </c>
      <c r="N331" s="1" t="inlineStr">
        <is>
          <t>О</t>
        </is>
      </c>
      <c r="O331" s="9" t="n">
        <v>8</v>
      </c>
      <c r="P331" s="1">
        <f>ROUNDUP(690*(1-$F$3),2)</f>
        <v/>
      </c>
      <c r="Q331" s="1" t="inlineStr">
        <is>
          <t> </t>
        </is>
      </c>
      <c r="R331" s="1" t="inlineStr">
        <is>
          <t>978-5-386-15108-9</t>
        </is>
      </c>
      <c r="S331" s="1" t="inlineStr">
        <is>
          <t>9785386151089</t>
        </is>
      </c>
      <c r="T331" s="9" t="n">
        <v>10</v>
      </c>
      <c r="U331" s="1">
        <f>ROUNDUP(627.27*(1-$F$3),2)</f>
        <v/>
      </c>
      <c r="V331" s="1" t="n">
        <v>256</v>
      </c>
      <c r="Y331" s="1" t="inlineStr">
        <is>
          <t>Антирак. Новый образ жизни</t>
        </is>
      </c>
      <c r="Z331" s="1" t="inlineStr">
        <is>
          <t>16+</t>
        </is>
      </c>
      <c r="AA331" s="12" t="n">
        <v>45243</v>
      </c>
      <c r="AB331" s="1" t="inlineStr">
        <is>
          <t>Медицина</t>
        </is>
      </c>
      <c r="AC331" s="1" t="inlineStr">
        <is>
          <t>Клиническая медицина. Внутренние болезни</t>
        </is>
      </c>
      <c r="AD331" s="1" t="inlineStr">
        <is>
          <t>Онкология</t>
        </is>
      </c>
      <c r="AE331" s="1" t="inlineStr">
        <is>
          <t>офсетная</t>
        </is>
      </c>
      <c r="AG331" s="1" t="n">
        <v>11116440</v>
      </c>
      <c r="AI331" s="1" t="inlineStr">
        <is>
          <t>4901990000</t>
        </is>
      </c>
      <c r="AJ331" s="1" t="inlineStr">
        <is>
          <t>Зпв</t>
        </is>
      </c>
    </row>
    <row r="332" customFormat="1" s="1">
      <c r="C332" s="1" t="inlineStr">
        <is>
          <t xml:space="preserve">9285120             </t>
        </is>
      </c>
      <c r="D332" s="1" t="inlineStr">
        <is>
          <t>Pocket&amp;Travel</t>
        </is>
      </c>
      <c r="E332" s="1" t="inlineStr">
        <is>
          <t>Арабский кошмар: роман. Ирвин Р.</t>
        </is>
      </c>
      <c r="F332" s="13" t="inlineStr">
        <is>
          <t>См.обл.</t>
        </is>
      </c>
      <c r="G332" s="1" t="inlineStr">
        <is>
          <t>Ирвин Р.</t>
        </is>
      </c>
      <c r="H332" s="1" t="inlineStr">
        <is>
          <t>76х100/32</t>
        </is>
      </c>
      <c r="I332" s="1" t="n">
        <v>335</v>
      </c>
      <c r="J332" s="1" t="inlineStr">
        <is>
          <t>РИПОЛ Классик</t>
        </is>
      </c>
      <c r="K332" s="1" t="inlineStr">
        <is>
          <t>Пальмира</t>
        </is>
      </c>
      <c r="M332" s="1" t="inlineStr">
        <is>
          <t>2020</t>
        </is>
      </c>
      <c r="N332" s="1" t="inlineStr">
        <is>
          <t>О</t>
        </is>
      </c>
      <c r="O332" s="9" t="n">
        <v>12</v>
      </c>
      <c r="P332" s="1">
        <f>ROUNDUP(540*(1-$F$3),2)</f>
        <v/>
      </c>
      <c r="Q332" s="1" t="inlineStr">
        <is>
          <t> </t>
        </is>
      </c>
      <c r="R332" s="1" t="inlineStr">
        <is>
          <t>978-5-386-12842-5</t>
        </is>
      </c>
      <c r="S332" s="1" t="inlineStr">
        <is>
          <t>9785386128425</t>
        </is>
      </c>
      <c r="T332" s="9" t="n">
        <v>10</v>
      </c>
      <c r="U332" s="1">
        <f>ROUNDUP(490.91*(1-$F$3),2)</f>
        <v/>
      </c>
      <c r="V332" s="1" t="n">
        <v>157</v>
      </c>
      <c r="Y332" s="1" t="inlineStr">
        <is>
          <t>Арабский кошмар: роман</t>
        </is>
      </c>
      <c r="Z332" s="1" t="inlineStr">
        <is>
          <t>18+</t>
        </is>
      </c>
      <c r="AA332" s="12" t="n">
        <v>43871</v>
      </c>
      <c r="AB332" s="1" t="inlineStr">
        <is>
          <t>Художественная литература</t>
        </is>
      </c>
      <c r="AC332" s="1" t="inlineStr">
        <is>
          <t>Фантастика. Мистика. Ужасы</t>
        </is>
      </c>
      <c r="AD332" s="1" t="inlineStr">
        <is>
          <t>Зарубежная фантастика</t>
        </is>
      </c>
      <c r="AE332" s="1" t="inlineStr">
        <is>
          <t>газетная</t>
        </is>
      </c>
      <c r="AG332" s="1" t="n">
        <v>9285120</v>
      </c>
      <c r="AI332" s="1" t="inlineStr">
        <is>
          <t>4901990000</t>
        </is>
      </c>
      <c r="AJ332" s="1" t="inlineStr">
        <is>
          <t>Зпв</t>
        </is>
      </c>
    </row>
    <row r="333" customFormat="1" s="1">
      <c r="C333" s="1" t="inlineStr">
        <is>
          <t xml:space="preserve">10401050            </t>
        </is>
      </c>
      <c r="D333" s="1" t="inlineStr">
        <is>
          <t>Pocket&amp;Travel</t>
        </is>
      </c>
      <c r="E333" s="1" t="inlineStr">
        <is>
          <t>Безумие толпы. Как мир сошел с ума от толерантности и попыток угодить всем. Мюррей Д.</t>
        </is>
      </c>
      <c r="F333" s="13" t="inlineStr">
        <is>
          <t>См.обл.</t>
        </is>
      </c>
      <c r="G333" s="1" t="inlineStr">
        <is>
          <t>Мюррей Д.</t>
        </is>
      </c>
      <c r="H333" s="1" t="inlineStr">
        <is>
          <t>76х100/32</t>
        </is>
      </c>
      <c r="I333" s="1" t="n">
        <v>480</v>
      </c>
      <c r="J333" s="1" t="inlineStr">
        <is>
          <t>РИПОЛ Классик</t>
        </is>
      </c>
      <c r="M333" s="1" t="inlineStr">
        <is>
          <t>2022</t>
        </is>
      </c>
      <c r="N333" s="1" t="inlineStr">
        <is>
          <t>О</t>
        </is>
      </c>
      <c r="O333" s="9" t="n">
        <v>6</v>
      </c>
      <c r="P333" s="1">
        <f>ROUNDUP(630*(1-$F$3),2)</f>
        <v/>
      </c>
      <c r="Q333" s="1" t="inlineStr">
        <is>
          <t> </t>
        </is>
      </c>
      <c r="R333" s="1" t="inlineStr">
        <is>
          <t>978-5-386-14748-8</t>
        </is>
      </c>
      <c r="S333" s="1" t="inlineStr">
        <is>
          <t>9785386147488</t>
        </is>
      </c>
      <c r="T333" s="9" t="n">
        <v>10</v>
      </c>
      <c r="U333" s="1">
        <f>ROUNDUP(572.73*(1-$F$3),2)</f>
        <v/>
      </c>
      <c r="V333" s="1" t="n">
        <v>239</v>
      </c>
      <c r="Y333" s="1" t="inlineStr">
        <is>
          <t>Безумие толпы. Как мир сошел с ума от толерантности и попыток угодить всем</t>
        </is>
      </c>
      <c r="Z333" s="1" t="inlineStr">
        <is>
          <t>18+</t>
        </is>
      </c>
      <c r="AA333" s="12" t="n">
        <v>44669</v>
      </c>
      <c r="AB333" s="1" t="inlineStr">
        <is>
          <t>Общественные науки</t>
        </is>
      </c>
      <c r="AC333" s="1" t="inlineStr">
        <is>
          <t>Обществознание. Социология. Демография.</t>
        </is>
      </c>
      <c r="AD333" s="1" t="inlineStr">
        <is>
          <t>Общая социология</t>
        </is>
      </c>
      <c r="AE333" s="1" t="inlineStr">
        <is>
          <t>офсетная</t>
        </is>
      </c>
      <c r="AG333" s="1" t="n">
        <v>10401050</v>
      </c>
      <c r="AI333" s="1" t="inlineStr">
        <is>
          <t>4901990000</t>
        </is>
      </c>
    </row>
    <row r="334" customFormat="1" s="1">
      <c r="C334" s="1" t="inlineStr">
        <is>
          <t xml:space="preserve">10401040            </t>
        </is>
      </c>
      <c r="D334" s="1" t="inlineStr">
        <is>
          <t>Pocket&amp;Travel</t>
        </is>
      </c>
      <c r="E334" s="1" t="inlineStr">
        <is>
          <t>Большое волшебство. Творчество без страха. Гилберт Э.</t>
        </is>
      </c>
      <c r="F334" s="13" t="inlineStr">
        <is>
          <t>См.обл.</t>
        </is>
      </c>
      <c r="G334" s="1" t="inlineStr">
        <is>
          <t>Гилберт Э.</t>
        </is>
      </c>
      <c r="H334" s="1" t="inlineStr">
        <is>
          <t>76х100/32</t>
        </is>
      </c>
      <c r="I334" s="1" t="n">
        <v>320</v>
      </c>
      <c r="J334" s="1" t="inlineStr">
        <is>
          <t>РИПОЛ Классик</t>
        </is>
      </c>
      <c r="M334" s="1" t="inlineStr">
        <is>
          <t>2026</t>
        </is>
      </c>
      <c r="N334" s="1" t="inlineStr">
        <is>
          <t>О</t>
        </is>
      </c>
      <c r="O334" s="9" t="n">
        <v>10</v>
      </c>
      <c r="P334" s="1">
        <f>ROUNDUP(540*(1-$F$3),2)</f>
        <v/>
      </c>
      <c r="Q334" s="1" t="inlineStr">
        <is>
          <t> </t>
        </is>
      </c>
      <c r="R334" s="1" t="inlineStr">
        <is>
          <t>978-5-386-14749-5</t>
        </is>
      </c>
      <c r="S334" s="1" t="inlineStr">
        <is>
          <t>9785386147495</t>
        </is>
      </c>
      <c r="T334" s="9" t="n">
        <v>10</v>
      </c>
      <c r="U334" s="1">
        <f>ROUNDUP(490.91*(1-$F$3),2)</f>
        <v/>
      </c>
      <c r="V334" s="1" t="n">
        <v>151</v>
      </c>
      <c r="Y334" s="1" t="inlineStr">
        <is>
          <t>Большое волшебство. Творчество без страха</t>
        </is>
      </c>
      <c r="Z334" s="1" t="inlineStr">
        <is>
          <t>16+</t>
        </is>
      </c>
      <c r="AA334" s="12" t="n">
        <v>44669</v>
      </c>
      <c r="AB334" s="1" t="inlineStr">
        <is>
          <t>Гуманитарные науки</t>
        </is>
      </c>
      <c r="AC334" s="1" t="inlineStr">
        <is>
          <t>Психология</t>
        </is>
      </c>
      <c r="AD334" s="1" t="inlineStr">
        <is>
          <t>Популярная психология</t>
        </is>
      </c>
      <c r="AE334" s="1" t="inlineStr">
        <is>
          <t>офсетная</t>
        </is>
      </c>
      <c r="AG334" s="1" t="n">
        <v>10401040</v>
      </c>
      <c r="AI334" s="1" t="inlineStr">
        <is>
          <t>4901990000</t>
        </is>
      </c>
    </row>
    <row r="335" customFormat="1" s="1">
      <c r="C335" s="1" t="inlineStr">
        <is>
          <t xml:space="preserve">12196390            </t>
        </is>
      </c>
      <c r="D335" s="1" t="inlineStr">
        <is>
          <t>Pocket&amp;Travel</t>
        </is>
      </c>
      <c r="E335" s="1" t="inlineStr">
        <is>
          <t>Верь/не верь. Борисова И.</t>
        </is>
      </c>
      <c r="F335" s="13" t="inlineStr">
        <is>
          <t>См.обл.</t>
        </is>
      </c>
      <c r="G335" s="1" t="inlineStr">
        <is>
          <t>Борисова И.</t>
        </is>
      </c>
      <c r="H335" s="1" t="inlineStr">
        <is>
          <t>76х100/32</t>
        </is>
      </c>
      <c r="I335" s="1" t="n">
        <v>560</v>
      </c>
      <c r="J335" s="1" t="inlineStr">
        <is>
          <t>РИПОЛ Классик</t>
        </is>
      </c>
      <c r="M335" s="1" t="inlineStr">
        <is>
          <t>2026</t>
        </is>
      </c>
      <c r="N335" s="1" t="inlineStr">
        <is>
          <t>О</t>
        </is>
      </c>
      <c r="O335" s="9" t="n">
        <v>6</v>
      </c>
      <c r="P335" s="1">
        <f>ROUNDUP(590*(1-$F$3),2)</f>
        <v/>
      </c>
      <c r="Q335" s="1" t="inlineStr">
        <is>
          <t> </t>
        </is>
      </c>
      <c r="R335" s="1" t="inlineStr">
        <is>
          <t>978-5-386-15644-2</t>
        </is>
      </c>
      <c r="S335" s="1" t="inlineStr">
        <is>
          <t>9785386156442</t>
        </is>
      </c>
      <c r="T335" s="9" t="n">
        <v>22</v>
      </c>
      <c r="U335" s="1">
        <f>ROUNDUP(483.61*(1-$F$3),2)</f>
        <v/>
      </c>
      <c r="V335" s="1" t="n">
        <v>273</v>
      </c>
      <c r="Y335" s="1" t="inlineStr">
        <is>
          <t>Верь/не верь</t>
        </is>
      </c>
      <c r="Z335" s="1" t="inlineStr">
        <is>
          <t>18+</t>
        </is>
      </c>
      <c r="AA335" s="12" t="n">
        <v>46227</v>
      </c>
      <c r="AB335" s="1" t="inlineStr">
        <is>
          <t>Художественная литература</t>
        </is>
      </c>
      <c r="AC335" s="1" t="inlineStr">
        <is>
          <t>Детективы. Боевики. Триллеры</t>
        </is>
      </c>
      <c r="AD335" s="1" t="inlineStr">
        <is>
          <t>Русский детектив</t>
        </is>
      </c>
      <c r="AE335" s="1" t="inlineStr">
        <is>
          <t>офсетная</t>
        </is>
      </c>
      <c r="AG335" s="1" t="n">
        <v>12196390</v>
      </c>
      <c r="AI335" s="1" t="inlineStr">
        <is>
          <t>4901990000</t>
        </is>
      </c>
      <c r="AJ335" s="1" t="inlineStr">
        <is>
          <t>Зпв</t>
        </is>
      </c>
    </row>
    <row r="336" customFormat="1" s="1">
      <c r="C336" s="1" t="inlineStr">
        <is>
          <t xml:space="preserve">9399680             </t>
        </is>
      </c>
      <c r="D336" s="1" t="inlineStr">
        <is>
          <t>Pocket&amp;Travel</t>
        </is>
      </c>
      <c r="E336" s="1" t="inlineStr">
        <is>
          <t>Город женщин: роман. Гилберт Э.</t>
        </is>
      </c>
      <c r="F336" s="13" t="inlineStr">
        <is>
          <t>См.обл.</t>
        </is>
      </c>
      <c r="G336" s="1" t="inlineStr">
        <is>
          <t>Гилберт Э.</t>
        </is>
      </c>
      <c r="H336" s="1" t="inlineStr">
        <is>
          <t>76х100/32</t>
        </is>
      </c>
      <c r="I336" s="1" t="n">
        <v>464</v>
      </c>
      <c r="J336" s="1" t="inlineStr">
        <is>
          <t>РИПОЛ Классик</t>
        </is>
      </c>
      <c r="M336" s="1" t="inlineStr">
        <is>
          <t>2026</t>
        </is>
      </c>
      <c r="N336" s="1" t="inlineStr">
        <is>
          <t>О</t>
        </is>
      </c>
      <c r="O336" s="9" t="n">
        <v>6</v>
      </c>
      <c r="P336" s="1">
        <f>ROUNDUP(600*(1-$F$3),2)</f>
        <v/>
      </c>
      <c r="Q336" s="1" t="inlineStr">
        <is>
          <t> </t>
        </is>
      </c>
      <c r="R336" s="1" t="inlineStr">
        <is>
          <t>978-5-386-13689-5</t>
        </is>
      </c>
      <c r="S336" s="1" t="inlineStr">
        <is>
          <t>9785386136895</t>
        </is>
      </c>
      <c r="T336" s="9" t="n">
        <v>10</v>
      </c>
      <c r="U336" s="1">
        <f>ROUNDUP(545.45*(1-$F$3),2)</f>
        <v/>
      </c>
      <c r="V336" s="1" t="n">
        <v>228</v>
      </c>
      <c r="Y336" s="1" t="inlineStr">
        <is>
          <t>Город женщин: роман</t>
        </is>
      </c>
      <c r="Z336" s="1" t="inlineStr">
        <is>
          <t>16+</t>
        </is>
      </c>
      <c r="AA336" s="12" t="n">
        <v>43978</v>
      </c>
      <c r="AB336" s="1" t="inlineStr">
        <is>
          <t>Художественная литература</t>
        </is>
      </c>
      <c r="AC336" s="1" t="inlineStr">
        <is>
          <t>Зарубежная литература</t>
        </is>
      </c>
      <c r="AD336" s="1" t="inlineStr">
        <is>
          <t>Литература Америки и Австралии</t>
        </is>
      </c>
      <c r="AE336" s="1" t="inlineStr">
        <is>
          <t>газетная</t>
        </is>
      </c>
      <c r="AG336" s="1" t="n">
        <v>9399680</v>
      </c>
      <c r="AI336" s="1" t="inlineStr">
        <is>
          <t>4901990000</t>
        </is>
      </c>
    </row>
    <row r="337" customFormat="1" s="1">
      <c r="C337" s="1" t="inlineStr">
        <is>
          <t xml:space="preserve">8613270             </t>
        </is>
      </c>
      <c r="D337" s="1" t="inlineStr">
        <is>
          <t>Pocket&amp;Travel</t>
        </is>
      </c>
      <c r="E337" s="1" t="inlineStr">
        <is>
          <t>Есть, молиться, любить (обл.). Гилберт Э.</t>
        </is>
      </c>
      <c r="F337" s="13" t="inlineStr">
        <is>
          <t>См.обл.</t>
        </is>
      </c>
      <c r="G337" s="1" t="inlineStr">
        <is>
          <t>Гилберт Э.</t>
        </is>
      </c>
      <c r="H337" s="1" t="inlineStr">
        <is>
          <t>76х100/32</t>
        </is>
      </c>
      <c r="I337" s="1" t="n">
        <v>496</v>
      </c>
      <c r="J337" s="1" t="inlineStr">
        <is>
          <t>РИПОЛ Классик</t>
        </is>
      </c>
      <c r="M337" s="1" t="inlineStr">
        <is>
          <t>2026</t>
        </is>
      </c>
      <c r="N337" s="1" t="inlineStr">
        <is>
          <t>О</t>
        </is>
      </c>
      <c r="O337" s="9" t="n">
        <v>6</v>
      </c>
      <c r="P337" s="1">
        <f>ROUNDUP(660*(1-$F$3),2)</f>
        <v/>
      </c>
      <c r="Q337" s="1" t="inlineStr">
        <is>
          <t> </t>
        </is>
      </c>
      <c r="R337" s="1" t="inlineStr">
        <is>
          <t>978-5-386-10816-8</t>
        </is>
      </c>
      <c r="S337" s="1" t="inlineStr">
        <is>
          <t>9785386108168</t>
        </is>
      </c>
      <c r="T337" s="9" t="n">
        <v>10</v>
      </c>
      <c r="U337" s="1">
        <f>ROUNDUP(600*(1-$F$3),2)</f>
        <v/>
      </c>
      <c r="V337" s="1" t="n">
        <v>239</v>
      </c>
      <c r="Y337" s="1" t="inlineStr">
        <is>
          <t>Есть, молиться, любить (обл.)</t>
        </is>
      </c>
      <c r="Z337" s="1" t="inlineStr">
        <is>
          <t>16+</t>
        </is>
      </c>
      <c r="AA337" s="12" t="n">
        <v>43236</v>
      </c>
      <c r="AB337" s="1" t="inlineStr">
        <is>
          <t>Художественная литература</t>
        </is>
      </c>
      <c r="AC337" s="1" t="inlineStr">
        <is>
          <t>Зарубежная литература</t>
        </is>
      </c>
      <c r="AD337" s="1" t="inlineStr">
        <is>
          <t>Литература Америки и Австралии</t>
        </is>
      </c>
      <c r="AE337" s="1" t="inlineStr">
        <is>
          <t>газетная</t>
        </is>
      </c>
      <c r="AG337" s="1" t="n">
        <v>8613270</v>
      </c>
      <c r="AI337" s="1" t="inlineStr">
        <is>
          <t>4901990000</t>
        </is>
      </c>
      <c r="AJ337" s="1" t="inlineStr">
        <is>
          <t>Зпв</t>
        </is>
      </c>
    </row>
    <row r="338" customFormat="1" s="1">
      <c r="C338" s="1" t="inlineStr">
        <is>
          <t xml:space="preserve">9256450             </t>
        </is>
      </c>
      <c r="D338" s="1" t="inlineStr">
        <is>
          <t>Pocket&amp;Travel</t>
        </is>
      </c>
      <c r="E338" s="1" t="inlineStr">
        <is>
          <t>Есть, молиться, любить 2: Законный брак. Гилберт Э.</t>
        </is>
      </c>
      <c r="F338" s="13" t="inlineStr">
        <is>
          <t>См.обл.</t>
        </is>
      </c>
      <c r="G338" s="1" t="inlineStr">
        <is>
          <t>Гилберт Э.</t>
        </is>
      </c>
      <c r="H338" s="1" t="inlineStr">
        <is>
          <t>76х100/32</t>
        </is>
      </c>
      <c r="I338" s="1" t="n">
        <v>384</v>
      </c>
      <c r="J338" s="1" t="inlineStr">
        <is>
          <t>РИПОЛ Классик</t>
        </is>
      </c>
      <c r="K338" s="1" t="inlineStr">
        <is>
          <t>Пальмира</t>
        </is>
      </c>
      <c r="M338" s="1" t="inlineStr">
        <is>
          <t>2026</t>
        </is>
      </c>
      <c r="N338" s="1" t="inlineStr">
        <is>
          <t>О</t>
        </is>
      </c>
      <c r="O338" s="9" t="n">
        <v>5</v>
      </c>
      <c r="P338" s="1">
        <f>ROUNDUP(1000*(1-$F$3),2)</f>
        <v/>
      </c>
      <c r="Q338" s="1" t="inlineStr">
        <is>
          <t> </t>
        </is>
      </c>
      <c r="R338" s="1" t="inlineStr">
        <is>
          <t>978-5-386-13519-5</t>
        </is>
      </c>
      <c r="S338" s="1" t="inlineStr">
        <is>
          <t>9785386135195</t>
        </is>
      </c>
      <c r="T338" s="9" t="n">
        <v>10</v>
      </c>
      <c r="U338" s="1">
        <f>ROUNDUP(909.09*(1-$F$3),2)</f>
        <v/>
      </c>
      <c r="V338" s="1" t="n">
        <v>193</v>
      </c>
      <c r="Y338" s="1" t="inlineStr">
        <is>
          <t>Есть, молиться, любить 2: Законный брак</t>
        </is>
      </c>
      <c r="Z338" s="1" t="inlineStr">
        <is>
          <t>16+</t>
        </is>
      </c>
      <c r="AA338" s="12" t="n">
        <v>43858</v>
      </c>
      <c r="AB338" s="1" t="inlineStr">
        <is>
          <t>Художественная литература</t>
        </is>
      </c>
      <c r="AC338" s="1" t="inlineStr">
        <is>
          <t>Зарубежная литература</t>
        </is>
      </c>
      <c r="AD338" s="1" t="inlineStr">
        <is>
          <t>Литература Америки и Австралии</t>
        </is>
      </c>
      <c r="AE338" s="1" t="inlineStr">
        <is>
          <t>газетная</t>
        </is>
      </c>
      <c r="AG338" s="1" t="n">
        <v>9256450</v>
      </c>
      <c r="AI338" s="1" t="inlineStr">
        <is>
          <t>4901990000</t>
        </is>
      </c>
      <c r="AJ338" s="1" t="inlineStr">
        <is>
          <t>Зпв</t>
        </is>
      </c>
    </row>
    <row r="339" customFormat="1" s="1">
      <c r="C339" s="1" t="inlineStr">
        <is>
          <t xml:space="preserve">11116430            </t>
        </is>
      </c>
      <c r="D339" s="1" t="inlineStr">
        <is>
          <t>Pocket&amp;Travel</t>
        </is>
      </c>
      <c r="E339" s="1" t="inlineStr">
        <is>
          <t>Как любить ребенка. Корчак Я.</t>
        </is>
      </c>
      <c r="F339" s="13" t="inlineStr">
        <is>
          <t>См.обл.</t>
        </is>
      </c>
      <c r="G339" s="1" t="inlineStr">
        <is>
          <t>Корчак Я.</t>
        </is>
      </c>
      <c r="H339" s="1" t="inlineStr">
        <is>
          <t>76х100/32</t>
        </is>
      </c>
      <c r="I339" s="1" t="n">
        <v>528</v>
      </c>
      <c r="J339" s="1" t="inlineStr">
        <is>
          <t>РИПОЛ Классик</t>
        </is>
      </c>
      <c r="M339" s="1" t="inlineStr">
        <is>
          <t>2024</t>
        </is>
      </c>
      <c r="N339" s="1" t="inlineStr">
        <is>
          <t>О</t>
        </is>
      </c>
      <c r="O339" s="9" t="n">
        <v>8</v>
      </c>
      <c r="P339" s="1">
        <f>ROUNDUP(580*(1-$F$3),2)</f>
        <v/>
      </c>
      <c r="Q339" s="1" t="inlineStr">
        <is>
          <t> </t>
        </is>
      </c>
      <c r="R339" s="1" t="inlineStr">
        <is>
          <t>978-5-386-15115-7</t>
        </is>
      </c>
      <c r="S339" s="1" t="inlineStr">
        <is>
          <t>9785386151157</t>
        </is>
      </c>
      <c r="T339" s="9" t="n">
        <v>10</v>
      </c>
      <c r="U339" s="1">
        <f>ROUNDUP(527.27*(1-$F$3),2)</f>
        <v/>
      </c>
      <c r="V339" s="1" t="n">
        <v>251</v>
      </c>
      <c r="Y339" s="1" t="inlineStr">
        <is>
          <t>Как любить ребенка</t>
        </is>
      </c>
      <c r="Z339" s="1" t="inlineStr">
        <is>
          <t>12+</t>
        </is>
      </c>
      <c r="AA339" s="12" t="n">
        <v>45243</v>
      </c>
      <c r="AB339" s="1" t="inlineStr">
        <is>
          <t>Общественные науки</t>
        </is>
      </c>
      <c r="AC339" s="1" t="inlineStr">
        <is>
          <t>Педагогика</t>
        </is>
      </c>
      <c r="AD339" s="1" t="inlineStr">
        <is>
          <t>Общие вопросы</t>
        </is>
      </c>
      <c r="AE339" s="1" t="inlineStr">
        <is>
          <t>офсетная</t>
        </is>
      </c>
      <c r="AG339" s="1" t="n">
        <v>11116430</v>
      </c>
      <c r="AI339" s="1" t="inlineStr">
        <is>
          <t>4901990000</t>
        </is>
      </c>
    </row>
    <row r="340" customFormat="1" s="1">
      <c r="C340" s="1" t="inlineStr">
        <is>
          <t xml:space="preserve">9356980             </t>
        </is>
      </c>
      <c r="D340" s="1" t="inlineStr">
        <is>
          <t>Pocket&amp;Travel</t>
        </is>
      </c>
      <c r="E340" s="1" t="inlineStr">
        <is>
          <t>Конец парада. Каждому свое. Форд Ф.М.</t>
        </is>
      </c>
      <c r="F340" s="13" t="inlineStr">
        <is>
          <t>См.обл.</t>
        </is>
      </c>
      <c r="G340" s="1" t="inlineStr">
        <is>
          <t>Форд Ф.М.</t>
        </is>
      </c>
      <c r="H340" s="1" t="inlineStr">
        <is>
          <t>76х100/32</t>
        </is>
      </c>
      <c r="I340" s="1" t="n">
        <v>384</v>
      </c>
      <c r="J340" s="1" t="inlineStr">
        <is>
          <t>РИПОЛ Классик</t>
        </is>
      </c>
      <c r="M340" s="1" t="inlineStr">
        <is>
          <t>2020</t>
        </is>
      </c>
      <c r="N340" s="1" t="inlineStr">
        <is>
          <t>О</t>
        </is>
      </c>
      <c r="O340" s="9" t="n">
        <v>16</v>
      </c>
      <c r="P340" s="1">
        <f>ROUNDUP(560*(1-$F$3),2)</f>
        <v/>
      </c>
      <c r="Q340" s="1" t="inlineStr">
        <is>
          <t> </t>
        </is>
      </c>
      <c r="R340" s="1" t="inlineStr">
        <is>
          <t>978-5-386-13623-9</t>
        </is>
      </c>
      <c r="S340" s="1" t="inlineStr">
        <is>
          <t>9785386136239</t>
        </is>
      </c>
      <c r="T340" s="9" t="n">
        <v>10</v>
      </c>
      <c r="U340" s="1">
        <f>ROUNDUP(509.09*(1-$F$3),2)</f>
        <v/>
      </c>
      <c r="V340" s="1" t="n">
        <v>192</v>
      </c>
      <c r="Y340" s="1" t="inlineStr">
        <is>
          <t>Конец парада. Каждому свое</t>
        </is>
      </c>
      <c r="Z340" s="1" t="inlineStr">
        <is>
          <t>18+</t>
        </is>
      </c>
      <c r="AA340" s="12" t="n">
        <v>43915</v>
      </c>
      <c r="AB340" s="1" t="inlineStr">
        <is>
          <t>Художественная литература</t>
        </is>
      </c>
      <c r="AC340" s="1" t="inlineStr">
        <is>
          <t>Зарубежная литература</t>
        </is>
      </c>
      <c r="AD340" s="1" t="inlineStr">
        <is>
          <t>Европейская литература</t>
        </is>
      </c>
      <c r="AE340" s="1" t="inlineStr">
        <is>
          <t>газетная</t>
        </is>
      </c>
      <c r="AG340" s="1" t="n">
        <v>9356980</v>
      </c>
      <c r="AI340" s="1" t="inlineStr">
        <is>
          <t>4901990000</t>
        </is>
      </c>
    </row>
    <row r="341" customFormat="1" s="1">
      <c r="C341" s="1" t="inlineStr">
        <is>
          <t xml:space="preserve">10943800            </t>
        </is>
      </c>
      <c r="D341" s="1" t="inlineStr">
        <is>
          <t>Pocket&amp;Travel</t>
        </is>
      </c>
      <c r="E341" s="1" t="inlineStr">
        <is>
          <t>Король в Желтом. Чамберс Р.</t>
        </is>
      </c>
      <c r="F341" s="13" t="inlineStr">
        <is>
          <t>См.обл.</t>
        </is>
      </c>
      <c r="G341" s="1" t="inlineStr">
        <is>
          <t>Чамберс Р.</t>
        </is>
      </c>
      <c r="H341" s="1" t="inlineStr">
        <is>
          <t>76х100/32</t>
        </is>
      </c>
      <c r="I341" s="1" t="n">
        <v>320</v>
      </c>
      <c r="J341" s="1" t="inlineStr">
        <is>
          <t>РИПОЛ Классик</t>
        </is>
      </c>
      <c r="M341" s="1" t="inlineStr">
        <is>
          <t>2025</t>
        </is>
      </c>
      <c r="N341" s="1" t="inlineStr">
        <is>
          <t>О</t>
        </is>
      </c>
      <c r="O341" s="9" t="n">
        <v>10</v>
      </c>
      <c r="P341" s="1">
        <f>ROUNDUP(490*(1-$F$3),2)</f>
        <v/>
      </c>
      <c r="Q341" s="1" t="inlineStr">
        <is>
          <t> </t>
        </is>
      </c>
      <c r="R341" s="1" t="inlineStr">
        <is>
          <t>978-5-386-15044-0</t>
        </is>
      </c>
      <c r="S341" s="1" t="inlineStr">
        <is>
          <t>9785386150440</t>
        </is>
      </c>
      <c r="T341" s="9" t="n">
        <v>10</v>
      </c>
      <c r="U341" s="1">
        <f>ROUNDUP(445.45*(1-$F$3),2)</f>
        <v/>
      </c>
      <c r="V341" s="1" t="n">
        <v>164</v>
      </c>
      <c r="Y341" s="1" t="inlineStr">
        <is>
          <t>Король в Желтом</t>
        </is>
      </c>
      <c r="Z341" s="1" t="inlineStr">
        <is>
          <t>16+</t>
        </is>
      </c>
      <c r="AA341" s="12" t="n">
        <v>45099</v>
      </c>
      <c r="AB341" s="1" t="inlineStr">
        <is>
          <t>Художественная литература</t>
        </is>
      </c>
      <c r="AC341" s="1" t="inlineStr">
        <is>
          <t>Фантастика. Мистика. Ужасы</t>
        </is>
      </c>
      <c r="AD341" s="1" t="inlineStr">
        <is>
          <t>Мистика. Ужасы</t>
        </is>
      </c>
      <c r="AE341" s="1" t="inlineStr">
        <is>
          <t>газетная</t>
        </is>
      </c>
      <c r="AG341" s="1" t="n">
        <v>10943800</v>
      </c>
      <c r="AI341" s="1" t="inlineStr">
        <is>
          <t>4901990000</t>
        </is>
      </c>
    </row>
    <row r="342" customFormat="1" s="1">
      <c r="C342" s="1" t="inlineStr">
        <is>
          <t xml:space="preserve">10535510            </t>
        </is>
      </c>
      <c r="D342" s="1" t="inlineStr">
        <is>
          <t>Pocket&amp;Travel</t>
        </is>
      </c>
      <c r="E342" s="1" t="inlineStr">
        <is>
          <t>Красивые вещи. Браун Дж</t>
        </is>
      </c>
      <c r="F342" s="13" t="inlineStr">
        <is>
          <t>См.обл.</t>
        </is>
      </c>
      <c r="G342" s="1" t="inlineStr">
        <is>
          <t>Браун Дж.</t>
        </is>
      </c>
      <c r="H342" s="1" t="inlineStr">
        <is>
          <t>76х100/32</t>
        </is>
      </c>
      <c r="I342" s="1" t="n">
        <v>512</v>
      </c>
      <c r="J342" s="1" t="inlineStr">
        <is>
          <t>РИПОЛ Классик</t>
        </is>
      </c>
      <c r="M342" s="1" t="inlineStr">
        <is>
          <t>2022</t>
        </is>
      </c>
      <c r="N342" s="1" t="inlineStr">
        <is>
          <t>О</t>
        </is>
      </c>
      <c r="O342" s="9" t="n">
        <v>6</v>
      </c>
      <c r="P342" s="1">
        <f>ROUNDUP(680*(1-$F$3),2)</f>
        <v/>
      </c>
      <c r="Q342" s="1" t="inlineStr">
        <is>
          <t> </t>
        </is>
      </c>
      <c r="R342" s="1" t="inlineStr">
        <is>
          <t>978-5-386-14765-5</t>
        </is>
      </c>
      <c r="S342" s="1" t="inlineStr">
        <is>
          <t>9785386147655</t>
        </is>
      </c>
      <c r="T342" s="9" t="n">
        <v>22</v>
      </c>
      <c r="U342" s="1">
        <f>ROUNDUP(557.38*(1-$F$3),2)</f>
        <v/>
      </c>
      <c r="V342" s="1" t="n">
        <v>254</v>
      </c>
      <c r="Y342" s="1" t="inlineStr">
        <is>
          <t>Красивые вещи</t>
        </is>
      </c>
      <c r="Z342" s="1" t="inlineStr">
        <is>
          <t>18+</t>
        </is>
      </c>
      <c r="AA342" s="12" t="n">
        <v>44834</v>
      </c>
      <c r="AB342" s="1" t="inlineStr">
        <is>
          <t>Художественная литература</t>
        </is>
      </c>
      <c r="AC342" s="1" t="inlineStr">
        <is>
          <t>Зарубежная литература</t>
        </is>
      </c>
      <c r="AD342" s="1" t="inlineStr">
        <is>
          <t>Литература Америки и Австралии</t>
        </is>
      </c>
      <c r="AE342" s="1" t="inlineStr">
        <is>
          <t>офсетная</t>
        </is>
      </c>
      <c r="AG342" s="1" t="n">
        <v>10535510</v>
      </c>
      <c r="AI342" s="1" t="inlineStr">
        <is>
          <t>4901990000</t>
        </is>
      </c>
      <c r="AJ342" s="1" t="inlineStr">
        <is>
          <t>Зпв</t>
        </is>
      </c>
    </row>
    <row r="343" customFormat="1" s="1">
      <c r="C343" s="1" t="inlineStr">
        <is>
          <t xml:space="preserve">10455010            </t>
        </is>
      </c>
      <c r="D343" s="1" t="inlineStr">
        <is>
          <t>Pocket&amp;Travel</t>
        </is>
      </c>
      <c r="E343" s="1" t="inlineStr">
        <is>
          <t>Кровавый апельсин. Тайс Г.</t>
        </is>
      </c>
      <c r="F343" s="13" t="inlineStr">
        <is>
          <t>См.обл.</t>
        </is>
      </c>
      <c r="G343" s="1" t="inlineStr">
        <is>
          <t>Тайс Г.</t>
        </is>
      </c>
      <c r="H343" s="1" t="inlineStr">
        <is>
          <t>76х100/32</t>
        </is>
      </c>
      <c r="I343" s="1" t="n">
        <v>336</v>
      </c>
      <c r="J343" s="1" t="inlineStr">
        <is>
          <t>РИПОЛ Классик</t>
        </is>
      </c>
      <c r="M343" s="1" t="inlineStr">
        <is>
          <t>2022</t>
        </is>
      </c>
      <c r="N343" s="1" t="inlineStr">
        <is>
          <t>О</t>
        </is>
      </c>
      <c r="O343" s="9" t="n">
        <v>10</v>
      </c>
      <c r="P343" s="1">
        <f>ROUNDUP(610*(1-$F$3),2)</f>
        <v/>
      </c>
      <c r="Q343" s="1" t="inlineStr">
        <is>
          <t> </t>
        </is>
      </c>
      <c r="R343" s="1" t="inlineStr">
        <is>
          <t>978-5-386-14766-2</t>
        </is>
      </c>
      <c r="S343" s="1" t="inlineStr">
        <is>
          <t>9785386147662</t>
        </is>
      </c>
      <c r="T343" s="9" t="n">
        <v>10</v>
      </c>
      <c r="U343" s="1">
        <f>ROUNDUP(554.55*(1-$F$3),2)</f>
        <v/>
      </c>
      <c r="V343" s="1" t="n">
        <v>167</v>
      </c>
      <c r="Y343" s="1" t="inlineStr">
        <is>
          <t>Кровавый апельсин</t>
        </is>
      </c>
      <c r="Z343" s="1" t="inlineStr">
        <is>
          <t>18+</t>
        </is>
      </c>
      <c r="AA343" s="12" t="n">
        <v>44708</v>
      </c>
      <c r="AB343" s="1" t="inlineStr">
        <is>
          <t>Художественная литература</t>
        </is>
      </c>
      <c r="AC343" s="1" t="inlineStr">
        <is>
          <t>Детективы. Боевики. Триллеры</t>
        </is>
      </c>
      <c r="AD343" s="1" t="inlineStr">
        <is>
          <t>Зарубежный детектив</t>
        </is>
      </c>
      <c r="AE343" s="1" t="inlineStr">
        <is>
          <t>газетная</t>
        </is>
      </c>
      <c r="AG343" s="1" t="n">
        <v>10455010</v>
      </c>
      <c r="AI343" s="1" t="inlineStr">
        <is>
          <t>4901990000</t>
        </is>
      </c>
      <c r="AJ343" s="1" t="inlineStr">
        <is>
          <t>Зпв</t>
        </is>
      </c>
    </row>
    <row r="344" customFormat="1" s="1">
      <c r="C344" s="1" t="inlineStr">
        <is>
          <t xml:space="preserve">9257030             </t>
        </is>
      </c>
      <c r="D344" s="1" t="inlineStr">
        <is>
          <t>Pocket&amp;Travel</t>
        </is>
      </c>
      <c r="E344" s="1" t="inlineStr">
        <is>
          <t>Любовь Свана: роман. Пруст М.</t>
        </is>
      </c>
      <c r="F344" s="13" t="inlineStr">
        <is>
          <t>См.обл.</t>
        </is>
      </c>
      <c r="G344" s="1" t="inlineStr">
        <is>
          <t>Пруст М.</t>
        </is>
      </c>
      <c r="H344" s="1" t="inlineStr">
        <is>
          <t>76х100/32</t>
        </is>
      </c>
      <c r="I344" s="1" t="n">
        <v>287</v>
      </c>
      <c r="J344" s="1" t="inlineStr">
        <is>
          <t>РИПОЛ Классик</t>
        </is>
      </c>
      <c r="K344" s="1" t="inlineStr">
        <is>
          <t>Пальмира</t>
        </is>
      </c>
      <c r="M344" s="1" t="inlineStr">
        <is>
          <t>2020</t>
        </is>
      </c>
      <c r="N344" s="1" t="inlineStr">
        <is>
          <t>О</t>
        </is>
      </c>
      <c r="O344" s="9" t="n">
        <v>16</v>
      </c>
      <c r="P344" s="1">
        <f>ROUNDUP(660*(1-$F$3),2)</f>
        <v/>
      </c>
      <c r="Q344" s="1" t="inlineStr">
        <is>
          <t> </t>
        </is>
      </c>
      <c r="R344" s="1" t="inlineStr">
        <is>
          <t>978-5-386-12843-2</t>
        </is>
      </c>
      <c r="S344" s="1" t="inlineStr">
        <is>
          <t>9785386128432</t>
        </is>
      </c>
      <c r="T344" s="9" t="n">
        <v>10</v>
      </c>
      <c r="U344" s="1">
        <f>ROUNDUP(600*(1-$F$3),2)</f>
        <v/>
      </c>
      <c r="V344" s="1" t="n">
        <v>138</v>
      </c>
      <c r="Y344" s="1" t="inlineStr">
        <is>
          <t>Любовь Свана: роман</t>
        </is>
      </c>
      <c r="Z344" s="1" t="inlineStr">
        <is>
          <t>12+</t>
        </is>
      </c>
      <c r="AA344" s="12" t="n">
        <v>43850</v>
      </c>
      <c r="AB344" s="1" t="inlineStr">
        <is>
          <t>Художественная литература</t>
        </is>
      </c>
      <c r="AC344" s="1" t="inlineStr">
        <is>
          <t>Зарубежная литература</t>
        </is>
      </c>
      <c r="AD344" s="1" t="inlineStr">
        <is>
          <t>Европейская литература</t>
        </is>
      </c>
      <c r="AE344" s="1" t="inlineStr">
        <is>
          <t>газетная</t>
        </is>
      </c>
      <c r="AG344" s="1" t="n">
        <v>9257030</v>
      </c>
      <c r="AI344" s="1" t="inlineStr">
        <is>
          <t>4901990000</t>
        </is>
      </c>
    </row>
    <row r="345" customFormat="1" s="1">
      <c r="C345" s="1" t="inlineStr">
        <is>
          <t xml:space="preserve">12196200            </t>
        </is>
      </c>
      <c r="D345" s="1" t="inlineStr">
        <is>
          <t>Pocket&amp;Travel</t>
        </is>
      </c>
      <c r="E345" s="1" t="inlineStr">
        <is>
          <t>Масло. Юзуки А.</t>
        </is>
      </c>
      <c r="F345" s="13" t="inlineStr">
        <is>
          <t>См.обл.</t>
        </is>
      </c>
      <c r="G345" s="1" t="inlineStr">
        <is>
          <t>Юзуки А.</t>
        </is>
      </c>
      <c r="H345" s="1" t="inlineStr">
        <is>
          <t>76х100/32</t>
        </is>
      </c>
      <c r="I345" s="1" t="n">
        <v>480</v>
      </c>
      <c r="J345" s="1" t="inlineStr">
        <is>
          <t>РИПОЛ Классик</t>
        </is>
      </c>
      <c r="M345" s="1" t="inlineStr">
        <is>
          <t>2026</t>
        </is>
      </c>
      <c r="N345" s="1" t="inlineStr">
        <is>
          <t>О</t>
        </is>
      </c>
      <c r="O345" s="9" t="n">
        <v>6</v>
      </c>
      <c r="P345" s="1">
        <f>ROUNDUP(590*(1-$F$3),2)</f>
        <v/>
      </c>
      <c r="Q345" s="1" t="inlineStr">
        <is>
          <t> </t>
        </is>
      </c>
      <c r="R345" s="1" t="inlineStr">
        <is>
          <t>978-5-386-15643-5</t>
        </is>
      </c>
      <c r="S345" s="1" t="inlineStr">
        <is>
          <t>9785386156435</t>
        </is>
      </c>
      <c r="T345" s="9" t="n">
        <v>22</v>
      </c>
      <c r="U345" s="1">
        <f>ROUNDUP(483.61*(1-$F$3),2)</f>
        <v/>
      </c>
      <c r="V345" s="1" t="n">
        <v>241</v>
      </c>
      <c r="Y345" s="1" t="inlineStr">
        <is>
          <t>Масло</t>
        </is>
      </c>
      <c r="Z345" s="1" t="inlineStr">
        <is>
          <t>18+</t>
        </is>
      </c>
      <c r="AA345" s="12" t="n">
        <v>46227</v>
      </c>
      <c r="AB345" s="1" t="inlineStr">
        <is>
          <t>Художественная литература</t>
        </is>
      </c>
      <c r="AC345" s="1" t="inlineStr">
        <is>
          <t>Детективы. Боевики. Триллеры</t>
        </is>
      </c>
      <c r="AD345" s="1" t="inlineStr">
        <is>
          <t>Зарубежный детектив</t>
        </is>
      </c>
      <c r="AE345" s="1" t="inlineStr">
        <is>
          <t>офсетная</t>
        </is>
      </c>
      <c r="AG345" s="1" t="n">
        <v>12196200</v>
      </c>
      <c r="AI345" s="1" t="inlineStr">
        <is>
          <t>4901990000</t>
        </is>
      </c>
    </row>
    <row r="346" customFormat="1" s="1">
      <c r="C346" s="1" t="inlineStr">
        <is>
          <t xml:space="preserve">10410380            </t>
        </is>
      </c>
      <c r="D346" s="1" t="inlineStr">
        <is>
          <t>Pocket&amp;Travel</t>
        </is>
      </c>
      <c r="E346" s="1" t="inlineStr">
        <is>
          <t>Новая земля. Пробуждение к своей жизненной цели. Толле Э.</t>
        </is>
      </c>
      <c r="F346" s="13" t="inlineStr">
        <is>
          <t>См.обл.</t>
        </is>
      </c>
      <c r="G346" s="1" t="inlineStr">
        <is>
          <t>Толле Э.</t>
        </is>
      </c>
      <c r="H346" s="1" t="inlineStr">
        <is>
          <t>76х100/32</t>
        </is>
      </c>
      <c r="I346" s="1" t="n">
        <v>368</v>
      </c>
      <c r="J346" s="1" t="inlineStr">
        <is>
          <t>РИПОЛ Классик</t>
        </is>
      </c>
      <c r="M346" s="1" t="inlineStr">
        <is>
          <t>2026</t>
        </is>
      </c>
      <c r="N346" s="1" t="inlineStr">
        <is>
          <t>О</t>
        </is>
      </c>
      <c r="O346" s="9" t="n">
        <v>8</v>
      </c>
      <c r="P346" s="1">
        <f>ROUNDUP(600*(1-$F$3),2)</f>
        <v/>
      </c>
      <c r="Q346" s="1" t="inlineStr">
        <is>
          <t> </t>
        </is>
      </c>
      <c r="R346" s="1" t="inlineStr">
        <is>
          <t>978-5-386-14757-0</t>
        </is>
      </c>
      <c r="S346" s="1" t="inlineStr">
        <is>
          <t>9785386147570</t>
        </is>
      </c>
      <c r="T346" s="9" t="n">
        <v>22</v>
      </c>
      <c r="U346" s="1">
        <f>ROUNDUP(491.8*(1-$F$3),2)</f>
        <v/>
      </c>
      <c r="V346" s="1" t="n">
        <v>181</v>
      </c>
      <c r="Y346" s="1" t="inlineStr">
        <is>
          <t>Новая земля. Пробуждение к своей жизненной цели</t>
        </is>
      </c>
      <c r="Z346" s="1" t="inlineStr">
        <is>
          <t>12+</t>
        </is>
      </c>
      <c r="AA346" s="12" t="n">
        <v>44685</v>
      </c>
      <c r="AB346" s="1" t="inlineStr">
        <is>
          <t>Религии. Эзотерика. Оккультизм</t>
        </is>
      </c>
      <c r="AC346" s="1" t="inlineStr">
        <is>
          <t>Эзотерика. Парапсихология. Тайны</t>
        </is>
      </c>
      <c r="AD346" s="1" t="inlineStr">
        <is>
          <t>Эзотерические учения. Теософия</t>
        </is>
      </c>
      <c r="AE346" s="1" t="inlineStr">
        <is>
          <t>офсетная</t>
        </is>
      </c>
      <c r="AG346" s="1" t="n">
        <v>10410380</v>
      </c>
      <c r="AI346" s="1" t="inlineStr">
        <is>
          <t>4901990000</t>
        </is>
      </c>
    </row>
    <row r="347" customFormat="1" s="1">
      <c r="C347" s="1" t="inlineStr">
        <is>
          <t xml:space="preserve">9400150             </t>
        </is>
      </c>
      <c r="D347" s="1" t="inlineStr">
        <is>
          <t>Pocket&amp;Travel</t>
        </is>
      </c>
      <c r="E347" s="1" t="inlineStr">
        <is>
          <t>Происхождение всех вещей: роман. Гилберт Э.</t>
        </is>
      </c>
      <c r="F347" s="13" t="inlineStr">
        <is>
          <t>См.обл.</t>
        </is>
      </c>
      <c r="G347" s="1" t="inlineStr">
        <is>
          <t>Гилберт Э.</t>
        </is>
      </c>
      <c r="H347" s="1" t="inlineStr">
        <is>
          <t>76х100/32</t>
        </is>
      </c>
      <c r="I347" s="1" t="n">
        <v>704</v>
      </c>
      <c r="J347" s="1" t="inlineStr">
        <is>
          <t>РИПОЛ Классик</t>
        </is>
      </c>
      <c r="M347" s="1" t="inlineStr">
        <is>
          <t>2025</t>
        </is>
      </c>
      <c r="N347" s="1" t="inlineStr">
        <is>
          <t>О</t>
        </is>
      </c>
      <c r="O347" s="9" t="n">
        <v>5</v>
      </c>
      <c r="P347" s="1">
        <f>ROUNDUP(770*(1-$F$3),2)</f>
        <v/>
      </c>
      <c r="Q347" s="1" t="inlineStr">
        <is>
          <t> </t>
        </is>
      </c>
      <c r="R347" s="1" t="inlineStr">
        <is>
          <t>978-5-386-13529-4</t>
        </is>
      </c>
      <c r="S347" s="1" t="inlineStr">
        <is>
          <t>9785386135294</t>
        </is>
      </c>
      <c r="T347" s="9" t="n">
        <v>10</v>
      </c>
      <c r="U347" s="1">
        <f>ROUNDUP(700*(1-$F$3),2)</f>
        <v/>
      </c>
      <c r="V347" s="1" t="n">
        <v>347</v>
      </c>
      <c r="Y347" s="1" t="inlineStr">
        <is>
          <t>Происхождение всех вещей: роман</t>
        </is>
      </c>
      <c r="Z347" s="1" t="inlineStr">
        <is>
          <t>16+</t>
        </is>
      </c>
      <c r="AA347" s="12" t="n">
        <v>43978</v>
      </c>
      <c r="AB347" s="1" t="inlineStr">
        <is>
          <t>Художественная литература</t>
        </is>
      </c>
      <c r="AC347" s="1" t="inlineStr">
        <is>
          <t>Зарубежная литература</t>
        </is>
      </c>
      <c r="AD347" s="1" t="inlineStr">
        <is>
          <t>Литература Америки и Австралии</t>
        </is>
      </c>
      <c r="AE347" s="1" t="inlineStr">
        <is>
          <t>офсетная</t>
        </is>
      </c>
      <c r="AG347" s="1" t="n">
        <v>9400150</v>
      </c>
      <c r="AI347" s="1" t="inlineStr">
        <is>
          <t>4901990000</t>
        </is>
      </c>
    </row>
    <row r="348" customFormat="1" s="1">
      <c r="C348" s="1" t="inlineStr">
        <is>
          <t xml:space="preserve">10943810            </t>
        </is>
      </c>
      <c r="D348" s="1" t="inlineStr">
        <is>
          <t>Pocket&amp;Travel</t>
        </is>
      </c>
      <c r="E348" s="1" t="inlineStr">
        <is>
          <t>Старьевщица. Рой О.Ю.</t>
        </is>
      </c>
      <c r="F348" s="13" t="inlineStr">
        <is>
          <t>См.обл.</t>
        </is>
      </c>
      <c r="G348" s="1" t="inlineStr">
        <is>
          <t>Рой О.Ю.</t>
        </is>
      </c>
      <c r="H348" s="1" t="inlineStr">
        <is>
          <t>76х100/32</t>
        </is>
      </c>
      <c r="I348" s="1" t="n">
        <v>416</v>
      </c>
      <c r="J348" s="1" t="inlineStr">
        <is>
          <t>РИПОЛ Классик</t>
        </is>
      </c>
      <c r="M348" s="1" t="inlineStr">
        <is>
          <t>2026</t>
        </is>
      </c>
      <c r="N348" s="1" t="inlineStr">
        <is>
          <t>О</t>
        </is>
      </c>
      <c r="O348" s="9" t="n">
        <v>7</v>
      </c>
      <c r="P348" s="1">
        <f>ROUNDUP(599*(1-$F$3),2)</f>
        <v/>
      </c>
      <c r="Q348" s="1" t="inlineStr">
        <is>
          <t> </t>
        </is>
      </c>
      <c r="R348" s="1" t="inlineStr">
        <is>
          <t>978-5-386-15052-5</t>
        </is>
      </c>
      <c r="S348" s="1" t="inlineStr">
        <is>
          <t>9785386150525</t>
        </is>
      </c>
      <c r="T348" s="9" t="n">
        <v>10</v>
      </c>
      <c r="U348" s="1">
        <f>ROUNDUP(544.55*(1-$F$3),2)</f>
        <v/>
      </c>
      <c r="V348" s="1" t="n">
        <v>209</v>
      </c>
      <c r="Y348" s="1" t="inlineStr">
        <is>
          <t>Старьевщица</t>
        </is>
      </c>
      <c r="Z348" s="1" t="inlineStr">
        <is>
          <t>16+</t>
        </is>
      </c>
      <c r="AA348" s="12" t="n">
        <v>45099</v>
      </c>
      <c r="AB348" s="1" t="inlineStr">
        <is>
          <t>Художественная литература</t>
        </is>
      </c>
      <c r="AC348" s="1" t="inlineStr">
        <is>
          <t>Русская литература</t>
        </is>
      </c>
      <c r="AD348" s="1" t="inlineStr">
        <is>
          <t>Современная литература</t>
        </is>
      </c>
      <c r="AE348" s="1" t="inlineStr">
        <is>
          <t>офсетная</t>
        </is>
      </c>
      <c r="AG348" s="1" t="n">
        <v>10943810</v>
      </c>
      <c r="AI348" s="1" t="inlineStr">
        <is>
          <t>4901990000</t>
        </is>
      </c>
      <c r="AJ348" s="1" t="inlineStr">
        <is>
          <t>Зпв</t>
        </is>
      </c>
    </row>
    <row r="349" customFormat="1" s="1">
      <c r="C349" s="1" t="inlineStr">
        <is>
          <t xml:space="preserve">10943820            </t>
        </is>
      </c>
      <c r="D349" s="1" t="inlineStr">
        <is>
          <t>Pocket&amp;Travel</t>
        </is>
      </c>
      <c r="E349" s="1" t="inlineStr">
        <is>
          <t>Тени тевтонов. Иванов А.В.</t>
        </is>
      </c>
      <c r="F349" s="13" t="inlineStr">
        <is>
          <t>См.обл.</t>
        </is>
      </c>
      <c r="G349" s="1" t="inlineStr">
        <is>
          <t>Иванов А.В.</t>
        </is>
      </c>
      <c r="H349" s="1" t="inlineStr">
        <is>
          <t>76х100/32</t>
        </is>
      </c>
      <c r="I349" s="1" t="n">
        <v>384</v>
      </c>
      <c r="J349" s="1" t="inlineStr">
        <is>
          <t>РИПОЛ Классик</t>
        </is>
      </c>
      <c r="M349" s="1" t="inlineStr">
        <is>
          <t>2023</t>
        </is>
      </c>
      <c r="N349" s="1" t="inlineStr">
        <is>
          <t>О</t>
        </is>
      </c>
      <c r="O349" s="9" t="n">
        <v>7</v>
      </c>
      <c r="P349" s="1">
        <f>ROUNDUP(550*(1-$F$3),2)</f>
        <v/>
      </c>
      <c r="Q349" s="1" t="inlineStr">
        <is>
          <t> </t>
        </is>
      </c>
      <c r="R349" s="1" t="inlineStr">
        <is>
          <t>978-5-386-15053-2</t>
        </is>
      </c>
      <c r="S349" s="1" t="inlineStr">
        <is>
          <t>9785386150532</t>
        </is>
      </c>
      <c r="T349" s="9" t="n">
        <v>10</v>
      </c>
      <c r="U349" s="1">
        <f>ROUNDUP(500*(1-$F$3),2)</f>
        <v/>
      </c>
      <c r="V349" s="1" t="n">
        <v>196</v>
      </c>
      <c r="Y349" s="1" t="inlineStr">
        <is>
          <t>Тени тевтонов</t>
        </is>
      </c>
      <c r="Z349" s="1" t="inlineStr">
        <is>
          <t>16+</t>
        </is>
      </c>
      <c r="AA349" s="12" t="n">
        <v>45099</v>
      </c>
      <c r="AB349" s="1" t="inlineStr">
        <is>
          <t>Художественная литература</t>
        </is>
      </c>
      <c r="AC349" s="1" t="inlineStr">
        <is>
          <t>Историческая проза</t>
        </is>
      </c>
      <c r="AD349" s="1" t="inlineStr">
        <is>
          <t>Русская историческая проза</t>
        </is>
      </c>
      <c r="AE349" s="1" t="inlineStr">
        <is>
          <t>офсетная</t>
        </is>
      </c>
      <c r="AG349" s="1" t="n">
        <v>10943820</v>
      </c>
      <c r="AI349" s="1" t="inlineStr">
        <is>
          <t>4901990000</t>
        </is>
      </c>
    </row>
    <row r="350" customFormat="1" s="1">
      <c r="C350" s="1" t="inlineStr">
        <is>
          <t xml:space="preserve">9233970             </t>
        </is>
      </c>
      <c r="D350" s="1" t="inlineStr">
        <is>
          <t>Pocket&amp;Travel</t>
        </is>
      </c>
      <c r="E350" s="1" t="inlineStr">
        <is>
          <t>Три метра над небом: Навеки твой: роман. Моччиа Ф.</t>
        </is>
      </c>
      <c r="F350" s="13" t="inlineStr">
        <is>
          <t>См.обл.</t>
        </is>
      </c>
      <c r="G350" s="1" t="inlineStr">
        <is>
          <t>Моччиа Ф.</t>
        </is>
      </c>
      <c r="H350" s="1" t="inlineStr">
        <is>
          <t>76х100/32</t>
        </is>
      </c>
      <c r="I350" s="1" t="n">
        <v>464</v>
      </c>
      <c r="J350" s="1" t="inlineStr">
        <is>
          <t>РИПОЛ Классик</t>
        </is>
      </c>
      <c r="M350" s="1" t="inlineStr">
        <is>
          <t>2026</t>
        </is>
      </c>
      <c r="N350" s="1" t="inlineStr">
        <is>
          <t>О</t>
        </is>
      </c>
      <c r="O350" s="9" t="n">
        <v>7</v>
      </c>
      <c r="P350" s="1">
        <f>ROUNDUP(650*(1-$F$3),2)</f>
        <v/>
      </c>
      <c r="Q350" s="1" t="inlineStr">
        <is>
          <t> </t>
        </is>
      </c>
      <c r="R350" s="1" t="inlineStr">
        <is>
          <t>978-5-386-13513-3</t>
        </is>
      </c>
      <c r="S350" s="1" t="inlineStr">
        <is>
          <t>9785386135133</t>
        </is>
      </c>
      <c r="T350" s="9" t="n">
        <v>10</v>
      </c>
      <c r="U350" s="1">
        <f>ROUNDUP(590.91*(1-$F$3),2)</f>
        <v/>
      </c>
      <c r="V350" s="1" t="n">
        <v>227</v>
      </c>
      <c r="Y350" s="1" t="inlineStr">
        <is>
          <t>Три метра над небом: Навеки твой: роман</t>
        </is>
      </c>
      <c r="Z350" s="1" t="inlineStr">
        <is>
          <t>16+</t>
        </is>
      </c>
      <c r="AA350" s="12" t="n">
        <v>43825</v>
      </c>
      <c r="AB350" s="1" t="inlineStr">
        <is>
          <t>Художественная литература</t>
        </is>
      </c>
      <c r="AC350" s="1" t="inlineStr">
        <is>
          <t>Сентиментальная проза</t>
        </is>
      </c>
      <c r="AD350" s="1" t="inlineStr">
        <is>
          <t>Зарубежный сентиментальный роман</t>
        </is>
      </c>
      <c r="AE350" s="1" t="inlineStr">
        <is>
          <t>офсетная</t>
        </is>
      </c>
      <c r="AG350" s="1" t="n">
        <v>9233970</v>
      </c>
      <c r="AI350" s="1" t="inlineStr">
        <is>
          <t>4901990000</t>
        </is>
      </c>
    </row>
    <row r="351" customFormat="1" s="1">
      <c r="C351" s="1" t="inlineStr">
        <is>
          <t xml:space="preserve">9284320             </t>
        </is>
      </c>
      <c r="D351" s="1" t="inlineStr">
        <is>
          <t>Pocket&amp;Travel</t>
        </is>
      </c>
      <c r="E351" s="1" t="inlineStr">
        <is>
          <t>Три метра над небом: Трижды ты: роман. Моччиа Ф.</t>
        </is>
      </c>
      <c r="F351" s="13" t="inlineStr">
        <is>
          <t>См.обл.</t>
        </is>
      </c>
      <c r="G351" s="1" t="inlineStr">
        <is>
          <t>Моччиа Ф.</t>
        </is>
      </c>
      <c r="H351" s="1" t="inlineStr">
        <is>
          <t>76х100/32</t>
        </is>
      </c>
      <c r="I351" s="1" t="n">
        <v>704</v>
      </c>
      <c r="J351" s="1" t="inlineStr">
        <is>
          <t>РИПОЛ Классик</t>
        </is>
      </c>
      <c r="K351" s="1" t="inlineStr">
        <is>
          <t>Пальмира</t>
        </is>
      </c>
      <c r="M351" s="1" t="inlineStr">
        <is>
          <t>2026</t>
        </is>
      </c>
      <c r="N351" s="1" t="inlineStr">
        <is>
          <t>О</t>
        </is>
      </c>
      <c r="O351" s="9" t="n">
        <v>4</v>
      </c>
      <c r="P351" s="1">
        <f>ROUNDUP(790*(1-$F$3),2)</f>
        <v/>
      </c>
      <c r="Q351" s="1" t="inlineStr">
        <is>
          <t> </t>
        </is>
      </c>
      <c r="R351" s="1" t="inlineStr">
        <is>
          <t>978-5-386-13567-6</t>
        </is>
      </c>
      <c r="S351" s="1" t="inlineStr">
        <is>
          <t>9785386135676</t>
        </is>
      </c>
      <c r="T351" s="9" t="n">
        <v>10</v>
      </c>
      <c r="U351" s="1">
        <f>ROUNDUP(718.18*(1-$F$3),2)</f>
        <v/>
      </c>
      <c r="V351" s="1" t="n">
        <v>344</v>
      </c>
      <c r="Y351" s="1" t="inlineStr">
        <is>
          <t>Три метра над небом: Трижды ты: роман</t>
        </is>
      </c>
      <c r="Z351" s="1" t="inlineStr">
        <is>
          <t>18+</t>
        </is>
      </c>
      <c r="AA351" s="12" t="n">
        <v>43866</v>
      </c>
      <c r="AB351" s="1" t="inlineStr">
        <is>
          <t>Художественная литература</t>
        </is>
      </c>
      <c r="AC351" s="1" t="inlineStr">
        <is>
          <t>Сентиментальная проза</t>
        </is>
      </c>
      <c r="AD351" s="1" t="inlineStr">
        <is>
          <t>Зарубежный сентиментальный роман</t>
        </is>
      </c>
      <c r="AE351" s="1" t="inlineStr">
        <is>
          <t>офсетная</t>
        </is>
      </c>
      <c r="AG351" s="1" t="n">
        <v>9284320</v>
      </c>
      <c r="AI351" s="1" t="inlineStr">
        <is>
          <t>4901990000</t>
        </is>
      </c>
      <c r="AJ351" s="1" t="inlineStr">
        <is>
          <t>Зпв</t>
        </is>
      </c>
    </row>
    <row r="352" customFormat="1" s="1">
      <c r="C352" s="1" t="inlineStr">
        <is>
          <t xml:space="preserve">9258210             </t>
        </is>
      </c>
      <c r="D352" s="1" t="inlineStr">
        <is>
          <t>Pocket&amp;Travel</t>
        </is>
      </c>
      <c r="E352" s="1" t="inlineStr">
        <is>
          <t>Три метра над небом: Я тебя хочу. Моччиа Ф.</t>
        </is>
      </c>
      <c r="F352" s="13" t="inlineStr">
        <is>
          <t>См.обл.</t>
        </is>
      </c>
      <c r="G352" s="1" t="inlineStr">
        <is>
          <t>Моччиа Ф.</t>
        </is>
      </c>
      <c r="H352" s="1" t="inlineStr">
        <is>
          <t>76х100/32</t>
        </is>
      </c>
      <c r="I352" s="1" t="n">
        <v>528</v>
      </c>
      <c r="J352" s="1" t="inlineStr">
        <is>
          <t>РИПОЛ Классик</t>
        </is>
      </c>
      <c r="M352" s="1" t="inlineStr">
        <is>
          <t>2026</t>
        </is>
      </c>
      <c r="N352" s="1" t="inlineStr">
        <is>
          <t>О</t>
        </is>
      </c>
      <c r="O352" s="9" t="n">
        <v>6</v>
      </c>
      <c r="P352" s="1">
        <f>ROUNDUP(700*(1-$F$3),2)</f>
        <v/>
      </c>
      <c r="Q352" s="1" t="inlineStr">
        <is>
          <t> </t>
        </is>
      </c>
      <c r="R352" s="1" t="inlineStr">
        <is>
          <t>978-5-386-13528-7</t>
        </is>
      </c>
      <c r="S352" s="1" t="inlineStr">
        <is>
          <t>9785386135287</t>
        </is>
      </c>
      <c r="T352" s="9" t="n">
        <v>10</v>
      </c>
      <c r="U352" s="1">
        <f>ROUNDUP(636.36*(1-$F$3),2)</f>
        <v/>
      </c>
      <c r="V352" s="1" t="n">
        <v>263</v>
      </c>
      <c r="Y352" s="1" t="inlineStr">
        <is>
          <t>Три метра над небом: Я тебя хочу</t>
        </is>
      </c>
      <c r="Z352" s="1" t="inlineStr">
        <is>
          <t>16+</t>
        </is>
      </c>
      <c r="AA352" s="12" t="n">
        <v>43850</v>
      </c>
      <c r="AB352" s="1" t="inlineStr">
        <is>
          <t>Художественная литература</t>
        </is>
      </c>
      <c r="AC352" s="1" t="inlineStr">
        <is>
          <t>Сентиментальная проза</t>
        </is>
      </c>
      <c r="AD352" s="1" t="inlineStr">
        <is>
          <t>Зарубежный сентиментальный роман</t>
        </is>
      </c>
      <c r="AE352" s="1" t="inlineStr">
        <is>
          <t>офсетная</t>
        </is>
      </c>
      <c r="AG352" s="1" t="n">
        <v>9258210</v>
      </c>
      <c r="AI352" s="1" t="inlineStr">
        <is>
          <t>4901990000</t>
        </is>
      </c>
    </row>
    <row r="353" customFormat="1" s="1">
      <c r="C353" s="1" t="inlineStr">
        <is>
          <t xml:space="preserve">10943890            </t>
        </is>
      </c>
      <c r="D353" s="1" t="inlineStr">
        <is>
          <t>Pocket&amp;Travel</t>
        </is>
      </c>
      <c r="E353" s="1" t="inlineStr">
        <is>
          <t>Туарег 2. Васкес-Фигероа А.</t>
        </is>
      </c>
      <c r="F353" s="13" t="inlineStr">
        <is>
          <t>См.обл.</t>
        </is>
      </c>
      <c r="G353" s="1" t="inlineStr">
        <is>
          <t>Васкес-Фигероа А.</t>
        </is>
      </c>
      <c r="H353" s="1" t="inlineStr">
        <is>
          <t>76х100/32</t>
        </is>
      </c>
      <c r="I353" s="1" t="n">
        <v>320</v>
      </c>
      <c r="J353" s="1" t="inlineStr">
        <is>
          <t>РИПОЛ Классик</t>
        </is>
      </c>
      <c r="M353" s="1" t="inlineStr">
        <is>
          <t>2026</t>
        </is>
      </c>
      <c r="N353" s="1" t="inlineStr">
        <is>
          <t>О</t>
        </is>
      </c>
      <c r="O353" s="9" t="n">
        <v>10</v>
      </c>
      <c r="P353" s="1">
        <f>ROUNDUP(690*(1-$F$3),2)</f>
        <v/>
      </c>
      <c r="Q353" s="1" t="inlineStr">
        <is>
          <t> </t>
        </is>
      </c>
      <c r="R353" s="1" t="inlineStr">
        <is>
          <t>978-5-386-15049-5</t>
        </is>
      </c>
      <c r="S353" s="1" t="inlineStr">
        <is>
          <t>9785386150495</t>
        </is>
      </c>
      <c r="T353" s="9" t="n">
        <v>10</v>
      </c>
      <c r="U353" s="1">
        <f>ROUNDUP(627.27*(1-$F$3),2)</f>
        <v/>
      </c>
      <c r="V353" s="1" t="n">
        <v>222</v>
      </c>
      <c r="Y353" s="1" t="inlineStr">
        <is>
          <t>Туарег 2</t>
        </is>
      </c>
      <c r="Z353" s="1" t="inlineStr">
        <is>
          <t>16+</t>
        </is>
      </c>
      <c r="AA353" s="12" t="n">
        <v>45099</v>
      </c>
      <c r="AB353" s="1" t="inlineStr">
        <is>
          <t>Художественная литература</t>
        </is>
      </c>
      <c r="AC353" s="1" t="inlineStr">
        <is>
          <t>Приключенческая проза</t>
        </is>
      </c>
      <c r="AD353" s="1" t="inlineStr">
        <is>
          <t>Зарубежная приключенческая проза</t>
        </is>
      </c>
      <c r="AE353" s="1" t="inlineStr">
        <is>
          <t>офсетная</t>
        </is>
      </c>
      <c r="AG353" s="1" t="n">
        <v>10943890</v>
      </c>
      <c r="AI353" s="1" t="inlineStr">
        <is>
          <t>4901990000</t>
        </is>
      </c>
    </row>
    <row r="354" customFormat="1" s="1">
      <c r="C354" s="1" t="inlineStr">
        <is>
          <t xml:space="preserve">9726270             </t>
        </is>
      </c>
      <c r="D354" s="1" t="inlineStr">
        <is>
          <t>Pocket&amp;Travel</t>
        </is>
      </c>
      <c r="E354" s="1" t="inlineStr">
        <is>
          <t>Туарег. Васкес-Фигероа А.</t>
        </is>
      </c>
      <c r="F354" s="13" t="inlineStr">
        <is>
          <t>См.обл.</t>
        </is>
      </c>
      <c r="G354" s="1" t="inlineStr">
        <is>
          <t>Васкес-Фигероа А.</t>
        </is>
      </c>
      <c r="H354" s="1" t="inlineStr">
        <is>
          <t>76х100/32</t>
        </is>
      </c>
      <c r="I354" s="1" t="n">
        <v>320</v>
      </c>
      <c r="J354" s="1" t="inlineStr">
        <is>
          <t>РИПОЛ Классик</t>
        </is>
      </c>
      <c r="M354" s="1" t="inlineStr">
        <is>
          <t>2023</t>
        </is>
      </c>
      <c r="N354" s="1" t="inlineStr">
        <is>
          <t>О</t>
        </is>
      </c>
      <c r="O354" s="9" t="n">
        <v>8</v>
      </c>
      <c r="P354" s="1">
        <f>ROUNDUP(530*(1-$F$3),2)</f>
        <v/>
      </c>
      <c r="Q354" s="1" t="inlineStr">
        <is>
          <t> </t>
        </is>
      </c>
      <c r="R354" s="1" t="inlineStr">
        <is>
          <t>978-5-386-14271-1</t>
        </is>
      </c>
      <c r="S354" s="1" t="inlineStr">
        <is>
          <t>9785386142711</t>
        </is>
      </c>
      <c r="T354" s="9" t="n">
        <v>22</v>
      </c>
      <c r="U354" s="1">
        <f>ROUNDUP(434.43*(1-$F$3),2)</f>
        <v/>
      </c>
      <c r="V354" s="1" t="n">
        <v>166</v>
      </c>
      <c r="Y354" s="1" t="inlineStr">
        <is>
          <t>Туарег</t>
        </is>
      </c>
      <c r="Z354" s="1" t="inlineStr">
        <is>
          <t>18+</t>
        </is>
      </c>
      <c r="AA354" s="12" t="n">
        <v>44364</v>
      </c>
      <c r="AB354" s="1" t="inlineStr">
        <is>
          <t>Художественная литература</t>
        </is>
      </c>
      <c r="AC354" s="1" t="inlineStr">
        <is>
          <t>Приключенческая проза</t>
        </is>
      </c>
      <c r="AD354" s="1" t="inlineStr">
        <is>
          <t>Зарубежная приключенческая проза</t>
        </is>
      </c>
      <c r="AE354" s="1" t="inlineStr">
        <is>
          <t>газетная</t>
        </is>
      </c>
      <c r="AG354" s="1" t="n">
        <v>9726270</v>
      </c>
      <c r="AI354" s="1" t="inlineStr">
        <is>
          <t>4901990000</t>
        </is>
      </c>
    </row>
    <row r="355" customFormat="1" s="1">
      <c r="C355" s="1" t="inlineStr">
        <is>
          <t>11618920</t>
        </is>
      </c>
      <c r="D355" s="1" t="inlineStr">
        <is>
          <t>Pocket&amp;Travel</t>
        </is>
      </c>
      <c r="E355" s="1" t="inlineStr">
        <is>
          <t>Туарег; Туарег 2 (комплект из 2-х книг). Васкес-Фигероа А.</t>
        </is>
      </c>
      <c r="F355" s="13" t="inlineStr">
        <is>
          <t>См.обл.</t>
        </is>
      </c>
      <c r="G355" s="1" t="inlineStr">
        <is>
          <t>Васкес-Фигероа А.</t>
        </is>
      </c>
      <c r="H355" s="1" t="inlineStr">
        <is>
          <t>76х100/32</t>
        </is>
      </c>
      <c r="I355" s="1" t="n">
        <v>640</v>
      </c>
      <c r="J355" s="1" t="inlineStr">
        <is>
          <t>РИПОЛ Классик</t>
        </is>
      </c>
      <c r="M355" s="1" t="inlineStr">
        <is>
          <t>2026</t>
        </is>
      </c>
      <c r="N355" s="1" t="inlineStr">
        <is>
          <t>О</t>
        </is>
      </c>
      <c r="O355" s="9" t="n"/>
      <c r="P355" s="1">
        <f>ROUNDUP(1098*(1-$F$3),2)</f>
        <v/>
      </c>
      <c r="Q355" s="1" t="inlineStr">
        <is>
          <t> </t>
        </is>
      </c>
      <c r="R355" s="1" t="inlineStr">
        <is>
          <t>978-5-521-83875-2</t>
        </is>
      </c>
      <c r="S355" s="1" t="inlineStr">
        <is>
          <t>9785521838752</t>
        </is>
      </c>
      <c r="T355" s="9" t="n">
        <v>22</v>
      </c>
      <c r="U355" s="1">
        <f>ROUNDUP(900*(1-$F$3),2)</f>
        <v/>
      </c>
      <c r="V355" s="1" t="n">
        <v>331</v>
      </c>
      <c r="Y355" s="1" t="inlineStr">
        <is>
          <t>Туарег; Туарег 2 (комплект из 2-х книг)</t>
        </is>
      </c>
      <c r="Z355" s="1" t="inlineStr">
        <is>
          <t>18+</t>
        </is>
      </c>
      <c r="AA355" s="12" t="n">
        <v>45672</v>
      </c>
      <c r="AB355" s="1" t="inlineStr">
        <is>
          <t>Художественная литература</t>
        </is>
      </c>
      <c r="AC355" s="1" t="inlineStr">
        <is>
          <t>Приключенческая проза</t>
        </is>
      </c>
      <c r="AD355" s="1" t="inlineStr">
        <is>
          <t>Зарубежная приключенческая проза</t>
        </is>
      </c>
      <c r="AE355" s="1" t="inlineStr">
        <is>
          <t>газетная</t>
        </is>
      </c>
      <c r="AG355" s="1" t="n">
        <v>11618920</v>
      </c>
      <c r="AI355" s="1" t="inlineStr">
        <is>
          <t>4901990000</t>
        </is>
      </c>
    </row>
    <row r="356" customFormat="1" s="1">
      <c r="C356" s="1" t="inlineStr">
        <is>
          <t xml:space="preserve">10943980            </t>
        </is>
      </c>
      <c r="D356" s="1" t="inlineStr">
        <is>
          <t>Pocket&amp;Travel</t>
        </is>
      </c>
      <c r="E356" s="1" t="inlineStr">
        <is>
          <t>Хайд. Рассел К.</t>
        </is>
      </c>
      <c r="F356" s="13" t="inlineStr">
        <is>
          <t>См.обл.</t>
        </is>
      </c>
      <c r="G356" s="1" t="inlineStr">
        <is>
          <t>Рассел К.</t>
        </is>
      </c>
      <c r="H356" s="1" t="inlineStr">
        <is>
          <t>76х100/32</t>
        </is>
      </c>
      <c r="I356" s="1" t="n">
        <v>528</v>
      </c>
      <c r="J356" s="1" t="inlineStr">
        <is>
          <t>РИПОЛ Классик</t>
        </is>
      </c>
      <c r="M356" s="1" t="inlineStr">
        <is>
          <t>2023</t>
        </is>
      </c>
      <c r="N356" s="1" t="inlineStr">
        <is>
          <t>О</t>
        </is>
      </c>
      <c r="O356" s="9" t="n">
        <v>6</v>
      </c>
      <c r="P356" s="1">
        <f>ROUNDUP(610*(1-$F$3),2)</f>
        <v/>
      </c>
      <c r="Q356" s="1" t="inlineStr">
        <is>
          <t> </t>
        </is>
      </c>
      <c r="R356" s="1" t="inlineStr">
        <is>
          <t>978-5-386-15046-4</t>
        </is>
      </c>
      <c r="S356" s="1" t="inlineStr">
        <is>
          <t>9785386150464</t>
        </is>
      </c>
      <c r="T356" s="9" t="n">
        <v>22</v>
      </c>
      <c r="U356" s="1">
        <f>ROUNDUP(500*(1-$F$3),2)</f>
        <v/>
      </c>
      <c r="V356" s="1" t="n">
        <v>263</v>
      </c>
      <c r="Y356" s="1" t="inlineStr">
        <is>
          <t>Хайд</t>
        </is>
      </c>
      <c r="Z356" s="1" t="inlineStr">
        <is>
          <t>18+</t>
        </is>
      </c>
      <c r="AA356" s="12" t="n">
        <v>45099</v>
      </c>
      <c r="AB356" s="1" t="inlineStr">
        <is>
          <t>Художественная литература</t>
        </is>
      </c>
      <c r="AC356" s="1" t="inlineStr">
        <is>
          <t>Детективы. Боевики. Триллеры</t>
        </is>
      </c>
      <c r="AD356" s="1" t="inlineStr">
        <is>
          <t>Зарубежный детектив</t>
        </is>
      </c>
      <c r="AE356" s="1" t="inlineStr">
        <is>
          <t>офсетная</t>
        </is>
      </c>
      <c r="AG356" s="1" t="n">
        <v>10943980</v>
      </c>
      <c r="AI356" s="1" t="inlineStr">
        <is>
          <t>4901990000</t>
        </is>
      </c>
      <c r="AJ356" s="1" t="inlineStr">
        <is>
          <t>Зпв</t>
        </is>
      </c>
    </row>
    <row r="357" customFormat="1" s="1">
      <c r="C357" s="1" t="inlineStr">
        <is>
          <t xml:space="preserve">9273050             </t>
        </is>
      </c>
      <c r="D357" s="1" t="inlineStr">
        <is>
          <t>PRO власть-pocket</t>
        </is>
      </c>
      <c r="E357" s="1" t="inlineStr">
        <is>
          <t>24 закона обольщения для достижения власти. Грин Р.</t>
        </is>
      </c>
      <c r="F357" s="13" t="inlineStr">
        <is>
          <t>См.обл.</t>
        </is>
      </c>
      <c r="G357" s="1" t="inlineStr">
        <is>
          <t>Грин Р.</t>
        </is>
      </c>
      <c r="H357" s="1" t="inlineStr">
        <is>
          <t>76х100/32</t>
        </is>
      </c>
      <c r="I357" s="1" t="n">
        <v>256</v>
      </c>
      <c r="J357" s="1" t="inlineStr">
        <is>
          <t>РИПОЛ Классик</t>
        </is>
      </c>
      <c r="M357" s="1" t="inlineStr">
        <is>
          <t>2026</t>
        </is>
      </c>
      <c r="N357" s="1" t="inlineStr">
        <is>
          <t>О</t>
        </is>
      </c>
      <c r="O357" s="9" t="n">
        <v>8</v>
      </c>
      <c r="P357" s="1">
        <f>ROUNDUP(790*(1-$F$3),2)</f>
        <v/>
      </c>
      <c r="Q357" s="1" t="inlineStr">
        <is>
          <t> </t>
        </is>
      </c>
      <c r="R357" s="1" t="inlineStr">
        <is>
          <t>978-5-386-13558-4</t>
        </is>
      </c>
      <c r="S357" s="1" t="inlineStr">
        <is>
          <t>9785386135584</t>
        </is>
      </c>
      <c r="T357" s="9" t="n">
        <v>10</v>
      </c>
      <c r="U357" s="1">
        <f>ROUNDUP(718.18*(1-$F$3),2)</f>
        <v/>
      </c>
      <c r="V357" s="1" t="n">
        <v>156</v>
      </c>
      <c r="Y357" s="1" t="inlineStr">
        <is>
          <t>24 закона обольщения для достижения власти</t>
        </is>
      </c>
      <c r="Z357" s="1" t="inlineStr">
        <is>
          <t>16+</t>
        </is>
      </c>
      <c r="AA357" s="12" t="n">
        <v>43857</v>
      </c>
      <c r="AB357" s="1" t="inlineStr">
        <is>
          <t>Гуманитарные науки</t>
        </is>
      </c>
      <c r="AC357" s="1" t="inlineStr">
        <is>
          <t>Психология</t>
        </is>
      </c>
      <c r="AD357" s="1" t="inlineStr">
        <is>
          <t>Социальная психология. Психология отношений. Коммуникации</t>
        </is>
      </c>
      <c r="AE357" s="1" t="inlineStr">
        <is>
          <t>офсетная</t>
        </is>
      </c>
      <c r="AG357" s="1" t="n">
        <v>9273050</v>
      </c>
      <c r="AI357" s="1" t="inlineStr">
        <is>
          <t>4901990000</t>
        </is>
      </c>
    </row>
    <row r="358" customFormat="1" s="1">
      <c r="C358" s="1" t="inlineStr">
        <is>
          <t xml:space="preserve">9270850             </t>
        </is>
      </c>
      <c r="D358" s="1" t="inlineStr">
        <is>
          <t>PRO власть-pocket</t>
        </is>
      </c>
      <c r="E358" s="1" t="inlineStr">
        <is>
          <t>33 стратегии войны. Грин Р.</t>
        </is>
      </c>
      <c r="F358" s="13" t="inlineStr">
        <is>
          <t>См.обл.</t>
        </is>
      </c>
      <c r="G358" s="1" t="inlineStr">
        <is>
          <t>Грин Р.</t>
        </is>
      </c>
      <c r="H358" s="1" t="inlineStr">
        <is>
          <t>76х100/32</t>
        </is>
      </c>
      <c r="I358" s="1" t="n">
        <v>320</v>
      </c>
      <c r="J358" s="1" t="inlineStr">
        <is>
          <t>РИПОЛ Классик</t>
        </is>
      </c>
      <c r="M358" s="1" t="inlineStr">
        <is>
          <t>2026</t>
        </is>
      </c>
      <c r="N358" s="1" t="inlineStr">
        <is>
          <t>О</t>
        </is>
      </c>
      <c r="O358" s="9" t="n">
        <v>10</v>
      </c>
      <c r="P358" s="1">
        <f>ROUNDUP(650*(1-$F$3),2)</f>
        <v/>
      </c>
      <c r="Q358" s="1" t="inlineStr">
        <is>
          <t> </t>
        </is>
      </c>
      <c r="R358" s="1" t="inlineStr">
        <is>
          <t>978-5-386-13557-7</t>
        </is>
      </c>
      <c r="S358" s="1" t="inlineStr">
        <is>
          <t>9785386135577</t>
        </is>
      </c>
      <c r="T358" s="9" t="n">
        <v>10</v>
      </c>
      <c r="U358" s="1">
        <f>ROUNDUP(590.91*(1-$F$3),2)</f>
        <v/>
      </c>
      <c r="V358" s="1" t="n">
        <v>165</v>
      </c>
      <c r="Y358" s="1" t="inlineStr">
        <is>
          <t>33 стратегии войны</t>
        </is>
      </c>
      <c r="Z358" s="1" t="inlineStr">
        <is>
          <t>16+</t>
        </is>
      </c>
      <c r="AA358" s="12" t="n">
        <v>43857</v>
      </c>
      <c r="AB358" s="1" t="inlineStr">
        <is>
          <t>Гуманитарные науки</t>
        </is>
      </c>
      <c r="AC358" s="1" t="inlineStr">
        <is>
          <t>Психология</t>
        </is>
      </c>
      <c r="AD358" s="1" t="inlineStr">
        <is>
          <t>Социальная психология. Психология отношений. Коммуникации</t>
        </is>
      </c>
      <c r="AE358" s="1" t="inlineStr">
        <is>
          <t>офсетная</t>
        </is>
      </c>
      <c r="AG358" s="1" t="n">
        <v>9270850</v>
      </c>
      <c r="AI358" s="1" t="inlineStr">
        <is>
          <t>4901990000</t>
        </is>
      </c>
    </row>
    <row r="359" customFormat="1" s="1">
      <c r="C359" s="1" t="inlineStr">
        <is>
          <t xml:space="preserve">9270860             </t>
        </is>
      </c>
      <c r="D359" s="1" t="inlineStr">
        <is>
          <t>PRO власть-pocket</t>
        </is>
      </c>
      <c r="E359" s="1" t="inlineStr">
        <is>
          <t>48 законов власти (краткая версия). Грин Р.</t>
        </is>
      </c>
      <c r="F359" s="13" t="inlineStr">
        <is>
          <t>См.обл.</t>
        </is>
      </c>
      <c r="G359" s="1" t="inlineStr">
        <is>
          <t>Грин Р.</t>
        </is>
      </c>
      <c r="H359" s="1" t="inlineStr">
        <is>
          <t>76х100/32</t>
        </is>
      </c>
      <c r="I359" s="1" t="n">
        <v>304</v>
      </c>
      <c r="J359" s="1" t="inlineStr">
        <is>
          <t>РИПОЛ Классик</t>
        </is>
      </c>
      <c r="M359" s="1" t="inlineStr">
        <is>
          <t>2026</t>
        </is>
      </c>
      <c r="N359" s="1" t="inlineStr">
        <is>
          <t>О</t>
        </is>
      </c>
      <c r="O359" s="9" t="n">
        <v>8</v>
      </c>
      <c r="P359" s="1">
        <f>ROUNDUP(610*(1-$F$3),2)</f>
        <v/>
      </c>
      <c r="Q359" s="1" t="inlineStr">
        <is>
          <t> </t>
        </is>
      </c>
      <c r="R359" s="1" t="inlineStr">
        <is>
          <t>978-5-386-13556-0</t>
        </is>
      </c>
      <c r="S359" s="1" t="inlineStr">
        <is>
          <t>9785386135560</t>
        </is>
      </c>
      <c r="T359" s="9" t="n">
        <v>10</v>
      </c>
      <c r="U359" s="1">
        <f>ROUNDUP(554.55*(1-$F$3),2)</f>
        <v/>
      </c>
      <c r="V359" s="1" t="n">
        <v>149</v>
      </c>
      <c r="Y359" s="1" t="inlineStr">
        <is>
          <t>48 законов власти (краткая версия)</t>
        </is>
      </c>
      <c r="Z359" s="1" t="inlineStr">
        <is>
          <t>16+</t>
        </is>
      </c>
      <c r="AA359" s="12" t="n">
        <v>43857</v>
      </c>
      <c r="AB359" s="1" t="inlineStr">
        <is>
          <t>Общественные науки</t>
        </is>
      </c>
      <c r="AC359" s="1" t="inlineStr">
        <is>
          <t>Политика</t>
        </is>
      </c>
      <c r="AD359" s="1" t="inlineStr">
        <is>
          <t>Государственное управление. Власть</t>
        </is>
      </c>
      <c r="AE359" s="1" t="inlineStr">
        <is>
          <t>офсетная</t>
        </is>
      </c>
      <c r="AG359" s="1" t="n">
        <v>9270860</v>
      </c>
      <c r="AI359" s="1" t="inlineStr">
        <is>
          <t>4901990000</t>
        </is>
      </c>
    </row>
    <row r="360" customFormat="1" s="1">
      <c r="C360" s="1" t="inlineStr">
        <is>
          <t xml:space="preserve">9399610             </t>
        </is>
      </c>
      <c r="D360" s="1" t="inlineStr">
        <is>
          <t>PRO власть-pocket</t>
        </is>
      </c>
      <c r="E360" s="1" t="inlineStr">
        <is>
          <t>Лестница в небо. Краткая версия. Хазин М.Л., Щеглов С.И.</t>
        </is>
      </c>
      <c r="F360" s="13" t="inlineStr">
        <is>
          <t>См.обл.</t>
        </is>
      </c>
      <c r="G360" s="1" t="inlineStr">
        <is>
          <t>Хазин М.Л., Щеглов С.И.</t>
        </is>
      </c>
      <c r="H360" s="1" t="inlineStr">
        <is>
          <t>80х100/32</t>
        </is>
      </c>
      <c r="I360" s="1" t="n">
        <v>320</v>
      </c>
      <c r="J360" s="1" t="inlineStr">
        <is>
          <t>РИПОЛ Классик</t>
        </is>
      </c>
      <c r="M360" s="1" t="inlineStr">
        <is>
          <t>2026</t>
        </is>
      </c>
      <c r="N360" s="1" t="inlineStr">
        <is>
          <t>О</t>
        </is>
      </c>
      <c r="O360" s="9" t="n">
        <v>12</v>
      </c>
      <c r="P360" s="1">
        <f>ROUNDUP(715*(1-$F$3),2)</f>
        <v/>
      </c>
      <c r="Q360" s="1" t="inlineStr">
        <is>
          <t> </t>
        </is>
      </c>
      <c r="R360" s="1" t="inlineStr">
        <is>
          <t>978-5-386-13677-2</t>
        </is>
      </c>
      <c r="S360" s="1" t="inlineStr">
        <is>
          <t>9785386136772</t>
        </is>
      </c>
      <c r="T360" s="9" t="n">
        <v>10</v>
      </c>
      <c r="U360" s="1">
        <f>ROUNDUP(650*(1-$F$3),2)</f>
        <v/>
      </c>
      <c r="V360" s="1" t="n">
        <v>181</v>
      </c>
      <c r="Y360" s="1" t="inlineStr">
        <is>
          <t>Лестница в небо. Краткая версия</t>
        </is>
      </c>
      <c r="Z360" s="1" t="inlineStr">
        <is>
          <t>12+</t>
        </is>
      </c>
      <c r="AA360" s="12" t="n">
        <v>43976</v>
      </c>
      <c r="AB360" s="1" t="inlineStr">
        <is>
          <t>Общественные науки</t>
        </is>
      </c>
      <c r="AC360" s="1" t="inlineStr">
        <is>
          <t>Политика</t>
        </is>
      </c>
      <c r="AD360" s="1" t="inlineStr">
        <is>
          <t>Государственное управление. Власть</t>
        </is>
      </c>
      <c r="AE360" s="1" t="inlineStr">
        <is>
          <t>офсетная</t>
        </is>
      </c>
      <c r="AG360" s="1" t="n">
        <v>9399610</v>
      </c>
      <c r="AI360" s="1" t="inlineStr">
        <is>
          <t>4901990000</t>
        </is>
      </c>
    </row>
    <row r="361" customFormat="1" s="1">
      <c r="C361" s="1" t="inlineStr">
        <is>
          <t xml:space="preserve">10236540            </t>
        </is>
      </c>
      <c r="D361" s="1" t="inlineStr">
        <is>
          <t>PROвласть</t>
        </is>
      </c>
      <c r="E361" s="1" t="inlineStr">
        <is>
          <t>24 закона обольщения. Грин Р.</t>
        </is>
      </c>
      <c r="F361" s="13" t="inlineStr">
        <is>
          <t>См.обл.</t>
        </is>
      </c>
      <c r="G361" s="1" t="inlineStr">
        <is>
          <t>Грин Р.</t>
        </is>
      </c>
      <c r="H361" s="1" t="inlineStr">
        <is>
          <t>60х90/16</t>
        </is>
      </c>
      <c r="I361" s="1" t="n">
        <v>800</v>
      </c>
      <c r="J361" s="1" t="inlineStr">
        <is>
          <t>РИПОЛ Классик</t>
        </is>
      </c>
      <c r="M361" s="1" t="inlineStr">
        <is>
          <t>2025</t>
        </is>
      </c>
      <c r="N361" s="1" t="inlineStr">
        <is>
          <t>П</t>
        </is>
      </c>
      <c r="O361" s="9" t="n">
        <v>3</v>
      </c>
      <c r="P361" s="1">
        <f>ROUNDUP(2180*(1-$F$3),2)</f>
        <v/>
      </c>
      <c r="Q361" s="1" t="inlineStr">
        <is>
          <t> </t>
        </is>
      </c>
      <c r="R361" s="1" t="inlineStr">
        <is>
          <t>978-5-386-14647-4</t>
        </is>
      </c>
      <c r="S361" s="1" t="inlineStr">
        <is>
          <t>9785386146474</t>
        </is>
      </c>
      <c r="T361" s="9" t="n">
        <v>10</v>
      </c>
      <c r="U361" s="1">
        <f>ROUNDUP(1981.82*(1-$F$3),2)</f>
        <v/>
      </c>
      <c r="V361" s="1" t="n">
        <v>724</v>
      </c>
      <c r="Y361" s="1" t="inlineStr">
        <is>
          <t>24 закона обольщения</t>
        </is>
      </c>
      <c r="Z361" s="1" t="inlineStr">
        <is>
          <t>16+</t>
        </is>
      </c>
      <c r="AA361" s="12" t="n">
        <v>44593</v>
      </c>
      <c r="AB361" s="1" t="inlineStr">
        <is>
          <t>Гуманитарные науки</t>
        </is>
      </c>
      <c r="AC361" s="1" t="inlineStr">
        <is>
          <t>Психология</t>
        </is>
      </c>
      <c r="AD361" s="1" t="inlineStr">
        <is>
          <t>Социальная психология. Психология отношений. Коммуникации</t>
        </is>
      </c>
      <c r="AE361" s="1" t="inlineStr">
        <is>
          <t>офсетная</t>
        </is>
      </c>
      <c r="AG361" s="1" t="n">
        <v>10236540</v>
      </c>
      <c r="AI361" s="1" t="inlineStr">
        <is>
          <t>4901990000</t>
        </is>
      </c>
    </row>
    <row r="362" customFormat="1" s="1">
      <c r="C362" s="1" t="inlineStr">
        <is>
          <t xml:space="preserve">9208070             </t>
        </is>
      </c>
      <c r="D362" s="1" t="inlineStr">
        <is>
          <t>PRO-власть</t>
        </is>
      </c>
      <c r="E362" s="1" t="inlineStr">
        <is>
          <t>33 стратегии войны. Грин Р.</t>
        </is>
      </c>
      <c r="F362" s="13" t="inlineStr">
        <is>
          <t>См.обл.</t>
        </is>
      </c>
      <c r="G362" s="1" t="inlineStr">
        <is>
          <t>Грин Р.</t>
        </is>
      </c>
      <c r="H362" s="1" t="inlineStr">
        <is>
          <t>60х90/16</t>
        </is>
      </c>
      <c r="I362" s="1" t="n">
        <v>896</v>
      </c>
      <c r="J362" s="1" t="inlineStr">
        <is>
          <t>РИПОЛ Классик</t>
        </is>
      </c>
      <c r="M362" s="1" t="inlineStr">
        <is>
          <t>2025</t>
        </is>
      </c>
      <c r="N362" s="1" t="inlineStr">
        <is>
          <t>П</t>
        </is>
      </c>
      <c r="O362" s="9" t="n">
        <v>4</v>
      </c>
      <c r="P362" s="1">
        <f>ROUNDUP(1940*(1-$F$3),2)</f>
        <v/>
      </c>
      <c r="Q362" s="1" t="inlineStr">
        <is>
          <t> </t>
        </is>
      </c>
      <c r="R362" s="1" t="inlineStr">
        <is>
          <t>978-5-386-13485-3</t>
        </is>
      </c>
      <c r="S362" s="1" t="inlineStr">
        <is>
          <t>9785386134853</t>
        </is>
      </c>
      <c r="T362" s="9" t="n">
        <v>10</v>
      </c>
      <c r="U362" s="1">
        <f>ROUNDUP(1763.64*(1-$F$3),2)</f>
        <v/>
      </c>
      <c r="V362" s="1" t="n">
        <v>911</v>
      </c>
      <c r="Y362" s="1" t="inlineStr">
        <is>
          <t>33 стратегии войны</t>
        </is>
      </c>
      <c r="Z362" s="1" t="inlineStr">
        <is>
          <t>16+</t>
        </is>
      </c>
      <c r="AA362" s="12" t="n">
        <v>43787</v>
      </c>
      <c r="AB362" s="1" t="inlineStr">
        <is>
          <t>Гуманитарные науки</t>
        </is>
      </c>
      <c r="AC362" s="1" t="inlineStr">
        <is>
          <t>Психология</t>
        </is>
      </c>
      <c r="AD362" s="1" t="inlineStr">
        <is>
          <t>Социальная психология. Психология отношений. Коммуникации</t>
        </is>
      </c>
      <c r="AE362" s="1" t="inlineStr">
        <is>
          <t>офсетная</t>
        </is>
      </c>
      <c r="AG362" s="1" t="n">
        <v>9208070</v>
      </c>
      <c r="AI362" s="1" t="inlineStr">
        <is>
          <t>4901990000</t>
        </is>
      </c>
    </row>
    <row r="363" customFormat="1" s="1">
      <c r="C363" s="1" t="inlineStr">
        <is>
          <t>244334</t>
        </is>
      </c>
      <c r="D363" s="1" t="inlineStr">
        <is>
          <t>PRO-власть</t>
        </is>
      </c>
      <c r="E363" s="1" t="inlineStr">
        <is>
          <t>33 стратегии войны. Грин Р.</t>
        </is>
      </c>
      <c r="F363" s="13" t="inlineStr">
        <is>
          <t>См.обл.</t>
        </is>
      </c>
      <c r="G363" s="1" t="inlineStr">
        <is>
          <t>Грин Р.</t>
        </is>
      </c>
      <c r="H363" s="1" t="inlineStr">
        <is>
          <t>60х90/16</t>
        </is>
      </c>
      <c r="I363" s="1" t="n">
        <v>896</v>
      </c>
      <c r="J363" s="1" t="inlineStr">
        <is>
          <t>РИПОЛ Классик</t>
        </is>
      </c>
      <c r="M363" s="1" t="inlineStr">
        <is>
          <t>2026</t>
        </is>
      </c>
      <c r="N363" s="1" t="inlineStr">
        <is>
          <t>П</t>
        </is>
      </c>
      <c r="O363" s="9" t="n">
        <v>6</v>
      </c>
      <c r="P363" s="1">
        <f>ROUNDUP(1595*(1-$F$3),2)</f>
        <v/>
      </c>
      <c r="Q363" s="1" t="inlineStr">
        <is>
          <t> </t>
        </is>
      </c>
      <c r="R363" s="1" t="inlineStr">
        <is>
          <t>978-5-386-06986-5</t>
        </is>
      </c>
      <c r="S363" s="1" t="inlineStr">
        <is>
          <t>9785386069865</t>
        </is>
      </c>
      <c r="T363" s="9" t="n">
        <v>10</v>
      </c>
      <c r="U363" s="1">
        <f>ROUNDUP(1450*(1-$F$3),2)</f>
        <v/>
      </c>
      <c r="V363" s="1" t="n">
        <v>683</v>
      </c>
      <c r="W363" s="1" t="inlineStr">
        <is>
          <t xml:space="preserve">017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363" s="1" t="inlineStr">
        <is>
          <t xml:space="preserve">Популярная психология                                                                                                           </t>
        </is>
      </c>
      <c r="Y363" s="1" t="inlineStr">
        <is>
          <t>33 стратегии войны</t>
        </is>
      </c>
      <c r="Z363" s="1" t="inlineStr">
        <is>
          <t>16+</t>
        </is>
      </c>
      <c r="AA363" s="12" t="n">
        <v>41681</v>
      </c>
      <c r="AB363" s="1" t="inlineStr">
        <is>
          <t>Гуманитарные науки</t>
        </is>
      </c>
      <c r="AC363" s="1" t="inlineStr">
        <is>
          <t>Психология</t>
        </is>
      </c>
      <c r="AD363" s="1" t="inlineStr">
        <is>
          <t>Социальная психология. Психология отношений. Коммуникации</t>
        </is>
      </c>
      <c r="AE363" s="1" t="inlineStr">
        <is>
          <t>офсетная</t>
        </is>
      </c>
      <c r="AG363" s="1" t="n">
        <v>6023810</v>
      </c>
      <c r="AI363" s="1" t="inlineStr">
        <is>
          <t>4901990000</t>
        </is>
      </c>
    </row>
    <row r="364" customFormat="1" s="1">
      <c r="C364" s="1" t="inlineStr">
        <is>
          <t>245540</t>
        </is>
      </c>
      <c r="D364" s="1" t="inlineStr">
        <is>
          <t>PRO-власть</t>
        </is>
      </c>
      <c r="E364" s="1" t="inlineStr">
        <is>
          <t>48 законов власти (полная версия). Грин Р.</t>
        </is>
      </c>
      <c r="F364" s="13" t="inlineStr">
        <is>
          <t>См.обл.</t>
        </is>
      </c>
      <c r="G364" s="1" t="inlineStr">
        <is>
          <t>Грин Р.</t>
        </is>
      </c>
      <c r="H364" s="1" t="inlineStr">
        <is>
          <t>60х90/16</t>
        </is>
      </c>
      <c r="I364" s="1" t="n">
        <v>768</v>
      </c>
      <c r="J364" s="1" t="inlineStr">
        <is>
          <t>РИПОЛ Классик</t>
        </is>
      </c>
      <c r="M364" s="1" t="inlineStr">
        <is>
          <t>2025</t>
        </is>
      </c>
      <c r="N364" s="1" t="inlineStr">
        <is>
          <t>П</t>
        </is>
      </c>
      <c r="O364" s="9" t="n">
        <v>4</v>
      </c>
      <c r="P364" s="1">
        <f>ROUNDUP(1590*(1-$F$3),2)</f>
        <v/>
      </c>
      <c r="Q364" s="1" t="inlineStr">
        <is>
          <t> </t>
        </is>
      </c>
      <c r="R364" s="1" t="inlineStr">
        <is>
          <t>978-5-386-06017-6</t>
        </is>
      </c>
      <c r="S364" s="1" t="inlineStr">
        <is>
          <t>9785386060176</t>
        </is>
      </c>
      <c r="T364" s="9" t="n">
        <v>10</v>
      </c>
      <c r="U364" s="1">
        <f>ROUNDUP(1445.45*(1-$F$3),2)</f>
        <v/>
      </c>
      <c r="V364" s="1" t="n">
        <v>763</v>
      </c>
      <c r="W364" s="1" t="inlineStr">
        <is>
          <t xml:space="preserve">017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364" s="1" t="inlineStr">
        <is>
          <t xml:space="preserve">Популярная психология                                                                                                           </t>
        </is>
      </c>
      <c r="Y364" s="1" t="inlineStr">
        <is>
          <t>48 законов власти (полная версия)</t>
        </is>
      </c>
      <c r="Z364" s="1" t="inlineStr">
        <is>
          <t>16+</t>
        </is>
      </c>
      <c r="AA364" s="12" t="n">
        <v>41711</v>
      </c>
      <c r="AB364" s="1" t="inlineStr">
        <is>
          <t>Общественные науки</t>
        </is>
      </c>
      <c r="AC364" s="1" t="inlineStr">
        <is>
          <t>Политика</t>
        </is>
      </c>
      <c r="AD364" s="1" t="inlineStr">
        <is>
          <t>Государственное управление. Власть</t>
        </is>
      </c>
      <c r="AE364" s="1" t="inlineStr">
        <is>
          <t>офсетная</t>
        </is>
      </c>
      <c r="AG364" s="1" t="n">
        <v>6071320</v>
      </c>
      <c r="AI364" s="1" t="inlineStr">
        <is>
          <t>4901990000</t>
        </is>
      </c>
    </row>
    <row r="365" customFormat="1" s="1">
      <c r="C365" s="1" t="inlineStr">
        <is>
          <t xml:space="preserve">9187370             </t>
        </is>
      </c>
      <c r="D365" s="1" t="inlineStr">
        <is>
          <t>PRO-власть</t>
        </is>
      </c>
      <c r="E365" s="1" t="inlineStr">
        <is>
          <t>48 законов власти (полная версия). Грин Р.</t>
        </is>
      </c>
      <c r="F365" s="13" t="inlineStr">
        <is>
          <t>См.обл.</t>
        </is>
      </c>
      <c r="G365" s="1" t="inlineStr">
        <is>
          <t>Грин Р.</t>
        </is>
      </c>
      <c r="H365" s="1" t="inlineStr">
        <is>
          <t>60х90/16</t>
        </is>
      </c>
      <c r="I365" s="1" t="n">
        <v>768</v>
      </c>
      <c r="J365" s="1" t="inlineStr">
        <is>
          <t>РИПОЛ Классик</t>
        </is>
      </c>
      <c r="M365" s="1" t="inlineStr">
        <is>
          <t>2026</t>
        </is>
      </c>
      <c r="N365" s="1" t="inlineStr">
        <is>
          <t>П</t>
        </is>
      </c>
      <c r="O365" s="9" t="n">
        <v>4</v>
      </c>
      <c r="P365" s="1">
        <f>ROUNDUP(1950*(1-$F$3),2)</f>
        <v/>
      </c>
      <c r="Q365" s="1" t="inlineStr">
        <is>
          <t> </t>
        </is>
      </c>
      <c r="R365" s="1" t="inlineStr">
        <is>
          <t>978-5-386-13484-6</t>
        </is>
      </c>
      <c r="S365" s="1" t="inlineStr">
        <is>
          <t>9785386134846</t>
        </is>
      </c>
      <c r="T365" s="9" t="n">
        <v>10</v>
      </c>
      <c r="U365" s="1">
        <f>ROUNDUP(1772.73*(1-$F$3),2)</f>
        <v/>
      </c>
      <c r="V365" s="1" t="n">
        <v>764</v>
      </c>
      <c r="Y365" s="1" t="inlineStr">
        <is>
          <t>48 законов власти (полная версия)</t>
        </is>
      </c>
      <c r="Z365" s="1" t="inlineStr">
        <is>
          <t>16+</t>
        </is>
      </c>
      <c r="AA365" s="12" t="n">
        <v>43762</v>
      </c>
      <c r="AB365" s="1" t="inlineStr">
        <is>
          <t>Общественные науки</t>
        </is>
      </c>
      <c r="AC365" s="1" t="inlineStr">
        <is>
          <t>Политика</t>
        </is>
      </c>
      <c r="AD365" s="1" t="inlineStr">
        <is>
          <t>Государственное управление. Власть</t>
        </is>
      </c>
      <c r="AE365" s="1" t="inlineStr">
        <is>
          <t>офсетная</t>
        </is>
      </c>
      <c r="AG365" s="1" t="n">
        <v>9187370</v>
      </c>
      <c r="AI365" s="1" t="inlineStr">
        <is>
          <t>4901990000</t>
        </is>
      </c>
    </row>
    <row r="366" customFormat="1" s="1">
      <c r="C366" s="1" t="inlineStr">
        <is>
          <t xml:space="preserve">9133360             </t>
        </is>
      </c>
      <c r="D366" s="1" t="inlineStr">
        <is>
          <t>PRO-власть</t>
        </is>
      </c>
      <c r="E366" s="1" t="inlineStr">
        <is>
          <t>Воспоминания о будущем. Идеи современной экономики. Хазин М.Л.</t>
        </is>
      </c>
      <c r="F366" s="13" t="inlineStr">
        <is>
          <t>См.обл.</t>
        </is>
      </c>
      <c r="G366" s="1" t="inlineStr">
        <is>
          <t>Хазин М.Л.</t>
        </is>
      </c>
      <c r="H366" s="1" t="inlineStr">
        <is>
          <t>60х90/16</t>
        </is>
      </c>
      <c r="I366" s="1" t="n">
        <v>464</v>
      </c>
      <c r="J366" s="1" t="inlineStr">
        <is>
          <t>РИПОЛ Классик</t>
        </is>
      </c>
      <c r="K366" s="1" t="inlineStr">
        <is>
          <t>Пальмира</t>
        </is>
      </c>
      <c r="M366" s="1" t="inlineStr">
        <is>
          <t>2025</t>
        </is>
      </c>
      <c r="N366" s="1" t="inlineStr">
        <is>
          <t>П</t>
        </is>
      </c>
      <c r="O366" s="9" t="n">
        <v>5</v>
      </c>
      <c r="P366" s="1">
        <f>ROUNDUP(1520*(1-$F$3),2)</f>
        <v/>
      </c>
      <c r="Q366" s="1" t="inlineStr">
        <is>
          <t> </t>
        </is>
      </c>
      <c r="R366" s="1" t="inlineStr">
        <is>
          <t>978-5-386-12785-5</t>
        </is>
      </c>
      <c r="S366" s="1" t="inlineStr">
        <is>
          <t>9785386127855</t>
        </is>
      </c>
      <c r="T366" s="9" t="n">
        <v>10</v>
      </c>
      <c r="U366" s="1">
        <f>ROUNDUP(1381.82*(1-$F$3),2)</f>
        <v/>
      </c>
      <c r="V366" s="1" t="n">
        <v>507</v>
      </c>
      <c r="Y366" s="1" t="inlineStr">
        <is>
          <t>Воспоминания о будущем. Идеи современной экономики</t>
        </is>
      </c>
      <c r="Z366" s="1" t="inlineStr">
        <is>
          <t>12+</t>
        </is>
      </c>
      <c r="AA366" s="12" t="n">
        <v>43719</v>
      </c>
      <c r="AB366" s="1" t="inlineStr">
        <is>
          <t>Экономика. Экономические науки</t>
        </is>
      </c>
      <c r="AC366" s="1" t="inlineStr">
        <is>
          <t>Экономика</t>
        </is>
      </c>
      <c r="AD366" s="1" t="inlineStr">
        <is>
          <t>Экономическая теория</t>
        </is>
      </c>
      <c r="AE366" s="1" t="inlineStr">
        <is>
          <t>офсетная</t>
        </is>
      </c>
      <c r="AG366" s="1" t="n">
        <v>9133360</v>
      </c>
      <c r="AI366" s="1" t="inlineStr">
        <is>
          <t>4901990000</t>
        </is>
      </c>
    </row>
    <row r="367" customFormat="1" s="1">
      <c r="C367" s="1" t="inlineStr">
        <is>
          <t xml:space="preserve">8613260             </t>
        </is>
      </c>
      <c r="D367" s="1" t="inlineStr">
        <is>
          <t>PRO-власть</t>
        </is>
      </c>
      <c r="E367" s="1" t="inlineStr">
        <is>
          <t>Лестница в небо. Диалоги о власти, карьере и мировой элите. Хазин М.Л., Щеглов С.И.</t>
        </is>
      </c>
      <c r="F367" s="13" t="inlineStr">
        <is>
          <t>См.обл.</t>
        </is>
      </c>
      <c r="G367" s="1" t="inlineStr">
        <is>
          <t>Хазин М.Л., Щеглов С.И.</t>
        </is>
      </c>
      <c r="H367" s="1" t="inlineStr">
        <is>
          <t>60х90/16</t>
        </is>
      </c>
      <c r="I367" s="1" t="n">
        <v>624</v>
      </c>
      <c r="J367" s="1" t="inlineStr">
        <is>
          <t>РИПОЛ Классик</t>
        </is>
      </c>
      <c r="M367" s="1" t="inlineStr">
        <is>
          <t>2026</t>
        </is>
      </c>
      <c r="N367" s="1" t="inlineStr">
        <is>
          <t>П</t>
        </is>
      </c>
      <c r="O367" s="9" t="n">
        <v>6</v>
      </c>
      <c r="P367" s="1">
        <f>ROUNDUP(1490*(1-$F$3),2)</f>
        <v/>
      </c>
      <c r="Q367" s="1" t="inlineStr">
        <is>
          <t> </t>
        </is>
      </c>
      <c r="R367" s="1" t="inlineStr">
        <is>
          <t>978-5-386-10813-7</t>
        </is>
      </c>
      <c r="S367" s="1" t="inlineStr">
        <is>
          <t>9785386108137</t>
        </is>
      </c>
      <c r="T367" s="9" t="n">
        <v>10</v>
      </c>
      <c r="U367" s="1">
        <f>ROUNDUP(1354.55*(1-$F$3),2)</f>
        <v/>
      </c>
      <c r="V367" s="1" t="n">
        <v>647</v>
      </c>
      <c r="Y367" s="1" t="inlineStr">
        <is>
          <t>Лестница в небо. Диалоги о власти, карьере и мировой элите</t>
        </is>
      </c>
      <c r="Z367" s="1" t="inlineStr">
        <is>
          <t>12+</t>
        </is>
      </c>
      <c r="AA367" s="12" t="n">
        <v>43253</v>
      </c>
      <c r="AB367" s="1" t="inlineStr">
        <is>
          <t>Общественные науки</t>
        </is>
      </c>
      <c r="AC367" s="1" t="inlineStr">
        <is>
          <t>Политика</t>
        </is>
      </c>
      <c r="AD367" s="1" t="inlineStr">
        <is>
          <t>Государственное управление. Власть</t>
        </is>
      </c>
      <c r="AE367" s="1" t="inlineStr">
        <is>
          <t>офсетная</t>
        </is>
      </c>
      <c r="AG367" s="1" t="n">
        <v>8613260</v>
      </c>
      <c r="AI367" s="1" t="inlineStr">
        <is>
          <t>4901990000</t>
        </is>
      </c>
    </row>
    <row r="368" customFormat="1" s="1">
      <c r="C368" s="1" t="inlineStr">
        <is>
          <t xml:space="preserve">7566030             </t>
        </is>
      </c>
      <c r="D368" s="1" t="inlineStr">
        <is>
          <t>PRO-власть</t>
        </is>
      </c>
      <c r="E368" s="1" t="inlineStr">
        <is>
          <t>Размышления. В чем наше благо? Готовому перейти Рубикон. Аврелий Антонин М., Эпиктет</t>
        </is>
      </c>
      <c r="F368" s="13" t="inlineStr">
        <is>
          <t>См.обл.</t>
        </is>
      </c>
      <c r="G368" s="1" t="inlineStr">
        <is>
          <t>Аврелий Антонин М., Эпиктет</t>
        </is>
      </c>
      <c r="H368" s="1" t="inlineStr">
        <is>
          <t>60х90/16</t>
        </is>
      </c>
      <c r="I368" s="1" t="n">
        <v>416</v>
      </c>
      <c r="J368" s="1" t="inlineStr">
        <is>
          <t>РИПОЛ Классик</t>
        </is>
      </c>
      <c r="M368" s="1" t="inlineStr">
        <is>
          <t>2024</t>
        </is>
      </c>
      <c r="N368" s="1" t="inlineStr">
        <is>
          <t>П</t>
        </is>
      </c>
      <c r="O368" s="9" t="n">
        <v>8</v>
      </c>
      <c r="P368" s="1">
        <f>ROUNDUP(1400*(1-$F$3),2)</f>
        <v/>
      </c>
      <c r="Q368" s="1" t="inlineStr">
        <is>
          <t> </t>
        </is>
      </c>
      <c r="R368" s="1" t="inlineStr">
        <is>
          <t>978-5-386-09293-1</t>
        </is>
      </c>
      <c r="S368" s="1" t="inlineStr">
        <is>
          <t>9785386092931</t>
        </is>
      </c>
      <c r="T368" s="9" t="n">
        <v>10</v>
      </c>
      <c r="U368" s="1">
        <f>ROUNDUP(1272.73*(1-$F$3),2)</f>
        <v/>
      </c>
      <c r="V368" s="1" t="n">
        <v>423</v>
      </c>
      <c r="Y368" s="1" t="inlineStr">
        <is>
          <t>Размышления. В чем наше благо? Готовому перейти Рубикон</t>
        </is>
      </c>
      <c r="Z368" s="1" t="inlineStr">
        <is>
          <t>0 +</t>
        </is>
      </c>
      <c r="AA368" s="12" t="n">
        <v>42507</v>
      </c>
      <c r="AB368" s="1" t="inlineStr">
        <is>
          <t>Гуманитарные науки</t>
        </is>
      </c>
      <c r="AC368" s="1" t="inlineStr">
        <is>
          <t>Философские науки</t>
        </is>
      </c>
      <c r="AD368" s="1" t="inlineStr">
        <is>
          <t>История философии. Античная философия</t>
        </is>
      </c>
      <c r="AE368" s="1" t="inlineStr">
        <is>
          <t>офсетная</t>
        </is>
      </c>
      <c r="AG368" s="1" t="n">
        <v>7566030</v>
      </c>
      <c r="AI368" s="1" t="inlineStr">
        <is>
          <t>4901990000</t>
        </is>
      </c>
    </row>
    <row r="369" customFormat="1" s="1">
      <c r="C369" s="1" t="inlineStr">
        <is>
          <t xml:space="preserve">10581830            </t>
        </is>
      </c>
      <c r="D369" s="1" t="inlineStr">
        <is>
          <t>PRO-власть</t>
        </is>
      </c>
      <c r="E369" s="1" t="inlineStr">
        <is>
          <t>Черный лебедь мирового кризиса. Хазин М.Л.</t>
        </is>
      </c>
      <c r="F369" s="13" t="inlineStr">
        <is>
          <t>См.обл.</t>
        </is>
      </c>
      <c r="G369" s="1" t="inlineStr">
        <is>
          <t>Хазин М.Л.</t>
        </is>
      </c>
      <c r="H369" s="1" t="inlineStr">
        <is>
          <t>60х90/16</t>
        </is>
      </c>
      <c r="I369" s="1" t="n">
        <v>416</v>
      </c>
      <c r="J369" s="1" t="inlineStr">
        <is>
          <t>РИПОЛ Классик</t>
        </is>
      </c>
      <c r="M369" s="1" t="inlineStr">
        <is>
          <t>2026</t>
        </is>
      </c>
      <c r="N369" s="1" t="inlineStr">
        <is>
          <t>П</t>
        </is>
      </c>
      <c r="O369" s="9" t="n">
        <v>10</v>
      </c>
      <c r="P369" s="1">
        <f>ROUNDUP(1520*(1-$F$3),2)</f>
        <v/>
      </c>
      <c r="Q369" s="1" t="inlineStr">
        <is>
          <t> </t>
        </is>
      </c>
      <c r="R369" s="1" t="inlineStr">
        <is>
          <t>978-5-386-13761-8</t>
        </is>
      </c>
      <c r="S369" s="1" t="inlineStr">
        <is>
          <t>9785386137618</t>
        </is>
      </c>
      <c r="T369" s="9" t="n">
        <v>10</v>
      </c>
      <c r="U369" s="1">
        <f>ROUNDUP(1381.82*(1-$F$3),2)</f>
        <v/>
      </c>
      <c r="V369" s="1" t="n">
        <v>512</v>
      </c>
      <c r="Y369" s="1" t="inlineStr">
        <is>
          <t>Черный лебедь мирового кризиса</t>
        </is>
      </c>
      <c r="Z369" s="1" t="inlineStr">
        <is>
          <t>12+</t>
        </is>
      </c>
      <c r="AA369" s="12" t="n">
        <v>44812</v>
      </c>
      <c r="AB369" s="1" t="inlineStr">
        <is>
          <t>Экономика. Экономические науки</t>
        </is>
      </c>
      <c r="AC369" s="1" t="inlineStr">
        <is>
          <t>Экономика</t>
        </is>
      </c>
      <c r="AD369" s="1" t="inlineStr">
        <is>
          <t>Мировая экономика. Международные экономические отношения</t>
        </is>
      </c>
      <c r="AE369" s="1" t="inlineStr">
        <is>
          <t>офсетная</t>
        </is>
      </c>
      <c r="AG369" s="1" t="n">
        <v>10581830</v>
      </c>
      <c r="AI369" s="1" t="inlineStr">
        <is>
          <t>4901990000</t>
        </is>
      </c>
      <c r="AJ369" s="1" t="inlineStr">
        <is>
          <t>Зпв</t>
        </is>
      </c>
    </row>
    <row r="370" customFormat="1" s="1">
      <c r="C370" s="1" t="inlineStr">
        <is>
          <t xml:space="preserve">8453860             </t>
        </is>
      </c>
      <c r="D370" s="1" t="inlineStr">
        <is>
          <t>PSYCHE</t>
        </is>
      </c>
      <c r="E370" s="1" t="inlineStr">
        <is>
          <t>Введение в психоанализ. Ошибочные действия. Сновидения. Фрейд З.</t>
        </is>
      </c>
      <c r="F370" s="13" t="inlineStr">
        <is>
          <t>См.обл.</t>
        </is>
      </c>
      <c r="G370" s="1" t="inlineStr">
        <is>
          <t>Фрейд З.</t>
        </is>
      </c>
      <c r="H370" s="1" t="inlineStr">
        <is>
          <t>80х100/32</t>
        </is>
      </c>
      <c r="I370" s="1" t="n">
        <v>354</v>
      </c>
      <c r="J370" s="1" t="inlineStr">
        <is>
          <t>РИПОЛ Классик</t>
        </is>
      </c>
      <c r="M370" s="1" t="inlineStr">
        <is>
          <t>2020</t>
        </is>
      </c>
      <c r="N370" s="1" t="inlineStr">
        <is>
          <t>О</t>
        </is>
      </c>
      <c r="O370" s="9" t="n">
        <v>10</v>
      </c>
      <c r="P370" s="1">
        <f>ROUNDUP(958.3*(1-$F$3),2)</f>
        <v/>
      </c>
      <c r="Q370" s="1" t="inlineStr">
        <is>
          <t> </t>
        </is>
      </c>
      <c r="R370" s="1" t="inlineStr">
        <is>
          <t>978-5-386-10476-4</t>
        </is>
      </c>
      <c r="S370" s="1" t="inlineStr">
        <is>
          <t>9785386104764</t>
        </is>
      </c>
      <c r="T370" s="9" t="n">
        <v>10</v>
      </c>
      <c r="U370" s="1">
        <f>ROUNDUP(871.18*(1-$F$3),2)</f>
        <v/>
      </c>
      <c r="V370" s="1" t="n">
        <v>265</v>
      </c>
      <c r="Y370" s="1" t="inlineStr">
        <is>
          <t>Введение в психоанализ. Ошибочные действия. Сновидения</t>
        </is>
      </c>
      <c r="Z370" s="1" t="inlineStr">
        <is>
          <t>16+</t>
        </is>
      </c>
      <c r="AA370" s="12" t="n">
        <v>43126</v>
      </c>
      <c r="AB370" s="1" t="inlineStr">
        <is>
          <t>Гуманитарные науки</t>
        </is>
      </c>
      <c r="AC370" s="1" t="inlineStr">
        <is>
          <t>Психология</t>
        </is>
      </c>
      <c r="AD370" s="1" t="inlineStr">
        <is>
          <t>Глубинная психология. Психоанализ</t>
        </is>
      </c>
      <c r="AE370" s="1" t="inlineStr">
        <is>
          <t>офсетная</t>
        </is>
      </c>
      <c r="AG370" s="1" t="n">
        <v>8453860</v>
      </c>
      <c r="AI370" s="1" t="inlineStr">
        <is>
          <t>4901990000</t>
        </is>
      </c>
    </row>
    <row r="371" customFormat="1" s="1">
      <c r="C371" s="1" t="inlineStr">
        <is>
          <t xml:space="preserve">8290860             </t>
        </is>
      </c>
      <c r="D371" s="1" t="inlineStr">
        <is>
          <t>PSYCHE</t>
        </is>
      </c>
      <c r="E371" s="1" t="inlineStr">
        <is>
          <t>Гениальность и помешательство. Ломброзо Ч.</t>
        </is>
      </c>
      <c r="F371" s="13" t="inlineStr">
        <is>
          <t>См.обл.</t>
        </is>
      </c>
      <c r="G371" s="1" t="inlineStr">
        <is>
          <t>Ломброзо Ч.</t>
        </is>
      </c>
      <c r="H371" s="1" t="inlineStr">
        <is>
          <t>80х100/32</t>
        </is>
      </c>
      <c r="I371" s="1" t="n">
        <v>400</v>
      </c>
      <c r="J371" s="1" t="inlineStr">
        <is>
          <t>РИПОЛ Классик</t>
        </is>
      </c>
      <c r="M371" s="1" t="inlineStr">
        <is>
          <t>2026</t>
        </is>
      </c>
      <c r="N371" s="1" t="inlineStr">
        <is>
          <t>О</t>
        </is>
      </c>
      <c r="O371" s="9" t="n">
        <v>10</v>
      </c>
      <c r="P371" s="1">
        <f>ROUNDUP(1023.4*(1-$F$3),2)</f>
        <v/>
      </c>
      <c r="Q371" s="1" t="inlineStr">
        <is>
          <t> </t>
        </is>
      </c>
      <c r="R371" s="1" t="inlineStr">
        <is>
          <t>978-5-386-10317-0</t>
        </is>
      </c>
      <c r="S371" s="1" t="inlineStr">
        <is>
          <t>9785386103170</t>
        </is>
      </c>
      <c r="T371" s="9" t="n">
        <v>10</v>
      </c>
      <c r="U371" s="1">
        <f>ROUNDUP(930.36*(1-$F$3),2)</f>
        <v/>
      </c>
      <c r="V371" s="1" t="n">
        <v>261</v>
      </c>
      <c r="Y371" s="1" t="inlineStr">
        <is>
          <t>Гениальность и помешательство</t>
        </is>
      </c>
      <c r="Z371" s="1" t="inlineStr">
        <is>
          <t>16+</t>
        </is>
      </c>
      <c r="AA371" s="12" t="n">
        <v>43003</v>
      </c>
      <c r="AB371" s="1" t="inlineStr">
        <is>
          <t>Гуманитарные науки</t>
        </is>
      </c>
      <c r="AC371" s="1" t="inlineStr">
        <is>
          <t>Психология</t>
        </is>
      </c>
      <c r="AD371" s="1" t="inlineStr">
        <is>
          <t>Глубинная психология. Психоанализ</t>
        </is>
      </c>
      <c r="AE371" s="1" t="inlineStr">
        <is>
          <t>офсетная</t>
        </is>
      </c>
      <c r="AG371" s="1" t="n">
        <v>8290860</v>
      </c>
      <c r="AI371" s="1" t="inlineStr">
        <is>
          <t>4901990000</t>
        </is>
      </c>
      <c r="AJ371" s="1" t="inlineStr">
        <is>
          <t>Зпв</t>
        </is>
      </c>
    </row>
    <row r="372" customFormat="1" s="1">
      <c r="C372" s="1" t="inlineStr">
        <is>
          <t xml:space="preserve">10409640            </t>
        </is>
      </c>
      <c r="D372" s="1" t="inlineStr">
        <is>
          <t>Red Book</t>
        </is>
      </c>
      <c r="E372" s="1" t="inlineStr">
        <is>
          <t>33 стратегии войны. Грин Р.</t>
        </is>
      </c>
      <c r="F372" s="13" t="inlineStr">
        <is>
          <t>См.обл.</t>
        </is>
      </c>
      <c r="G372" s="1" t="inlineStr">
        <is>
          <t>Грин Р.</t>
        </is>
      </c>
      <c r="H372" s="1" t="inlineStr">
        <is>
          <t>60х90/16</t>
        </is>
      </c>
      <c r="I372" s="1" t="n">
        <v>896</v>
      </c>
      <c r="J372" s="1" t="inlineStr">
        <is>
          <t>РИПОЛ Классик</t>
        </is>
      </c>
      <c r="M372" s="1" t="inlineStr">
        <is>
          <t>2026</t>
        </is>
      </c>
      <c r="N372" s="1" t="inlineStr">
        <is>
          <t>О</t>
        </is>
      </c>
      <c r="O372" s="9" t="n">
        <v>6</v>
      </c>
      <c r="P372" s="1">
        <f>ROUNDUP(1690*(1-$F$3),2)</f>
        <v/>
      </c>
      <c r="Q372" s="1" t="inlineStr">
        <is>
          <t> </t>
        </is>
      </c>
      <c r="R372" s="1" t="inlineStr">
        <is>
          <t>978-5-386-14753-2</t>
        </is>
      </c>
      <c r="S372" s="1" t="inlineStr">
        <is>
          <t>9785386147532</t>
        </is>
      </c>
      <c r="T372" s="9" t="n">
        <v>10</v>
      </c>
      <c r="U372" s="1">
        <f>ROUNDUP(1536.36*(1-$F$3),2)</f>
        <v/>
      </c>
      <c r="V372" s="1" t="n">
        <v>617</v>
      </c>
      <c r="Y372" s="1" t="inlineStr">
        <is>
          <t>33 стратегии войны</t>
        </is>
      </c>
      <c r="Z372" s="1" t="inlineStr">
        <is>
          <t>16+</t>
        </is>
      </c>
      <c r="AA372" s="12" t="n">
        <v>44708</v>
      </c>
      <c r="AB372" s="1" t="inlineStr">
        <is>
          <t>Гуманитарные науки</t>
        </is>
      </c>
      <c r="AC372" s="1" t="inlineStr">
        <is>
          <t>Психология</t>
        </is>
      </c>
      <c r="AD372" s="1" t="inlineStr">
        <is>
          <t>Социальная психология. Психология отношений. Коммуникации</t>
        </is>
      </c>
      <c r="AE372" s="1" t="inlineStr">
        <is>
          <t>офсетная</t>
        </is>
      </c>
      <c r="AG372" s="1" t="n">
        <v>10409640</v>
      </c>
      <c r="AI372" s="1" t="inlineStr">
        <is>
          <t>4901990000</t>
        </is>
      </c>
    </row>
    <row r="373" customFormat="1" s="1">
      <c r="C373" s="1" t="inlineStr">
        <is>
          <t xml:space="preserve">10409480            </t>
        </is>
      </c>
      <c r="D373" s="1" t="inlineStr">
        <is>
          <t>Red Book</t>
        </is>
      </c>
      <c r="E373" s="1" t="inlineStr">
        <is>
          <t>48 законов власти (полная версия). Грин Р.</t>
        </is>
      </c>
      <c r="F373" s="13" t="inlineStr">
        <is>
          <t>См.обл.</t>
        </is>
      </c>
      <c r="G373" s="1" t="inlineStr">
        <is>
          <t>Грин Р.</t>
        </is>
      </c>
      <c r="H373" s="1" t="inlineStr">
        <is>
          <t>60х90/16</t>
        </is>
      </c>
      <c r="I373" s="1" t="n">
        <v>768</v>
      </c>
      <c r="J373" s="1" t="inlineStr">
        <is>
          <t>РИПОЛ Классик</t>
        </is>
      </c>
      <c r="M373" s="1" t="inlineStr">
        <is>
          <t>2026</t>
        </is>
      </c>
      <c r="N373" s="1" t="inlineStr">
        <is>
          <t>О</t>
        </is>
      </c>
      <c r="O373" s="9" t="n">
        <v>4</v>
      </c>
      <c r="P373" s="1">
        <f>ROUNDUP(1270*(1-$F$3),2)</f>
        <v/>
      </c>
      <c r="Q373" s="1" t="inlineStr">
        <is>
          <t> </t>
        </is>
      </c>
      <c r="R373" s="1" t="inlineStr">
        <is>
          <t>978-5-386-14751-8</t>
        </is>
      </c>
      <c r="S373" s="1" t="inlineStr">
        <is>
          <t>9785386147518</t>
        </is>
      </c>
      <c r="T373" s="9" t="n">
        <v>10</v>
      </c>
      <c r="U373" s="1">
        <f>ROUNDUP(1154.55*(1-$F$3),2)</f>
        <v/>
      </c>
      <c r="V373" s="1" t="n">
        <v>679</v>
      </c>
      <c r="Y373" s="1" t="inlineStr">
        <is>
          <t>48 законов власти (полная версия)</t>
        </is>
      </c>
      <c r="Z373" s="1" t="inlineStr">
        <is>
          <t>16+</t>
        </is>
      </c>
      <c r="AA373" s="12" t="n">
        <v>44708</v>
      </c>
      <c r="AB373" s="1" t="inlineStr">
        <is>
          <t>Общественные науки</t>
        </is>
      </c>
      <c r="AC373" s="1" t="inlineStr">
        <is>
          <t>Политика</t>
        </is>
      </c>
      <c r="AD373" s="1" t="inlineStr">
        <is>
          <t>Государственное управление. Власть</t>
        </is>
      </c>
      <c r="AE373" s="1" t="inlineStr">
        <is>
          <t>офсетная</t>
        </is>
      </c>
      <c r="AG373" s="1" t="n">
        <v>10409480</v>
      </c>
      <c r="AI373" s="1" t="inlineStr">
        <is>
          <t>4901990000</t>
        </is>
      </c>
    </row>
    <row r="374" customFormat="1" s="1">
      <c r="C374" s="1" t="inlineStr">
        <is>
          <t xml:space="preserve">10499490            </t>
        </is>
      </c>
      <c r="D374" s="1" t="inlineStr">
        <is>
          <t>Red Book</t>
        </is>
      </c>
      <c r="E374" s="1" t="inlineStr">
        <is>
          <t>Воспоминания о будущем. Идеи современной экономики. Хазин М.Л.</t>
        </is>
      </c>
      <c r="F374" s="13" t="inlineStr">
        <is>
          <t>См.обл.</t>
        </is>
      </c>
      <c r="G374" s="1" t="inlineStr">
        <is>
          <t>Хазин М.Л.</t>
        </is>
      </c>
      <c r="H374" s="1" t="inlineStr">
        <is>
          <t>60х90/16</t>
        </is>
      </c>
      <c r="I374" s="1" t="n">
        <v>464</v>
      </c>
      <c r="J374" s="1" t="inlineStr">
        <is>
          <t>РИПОЛ Классик</t>
        </is>
      </c>
      <c r="M374" s="1" t="inlineStr">
        <is>
          <t>2025</t>
        </is>
      </c>
      <c r="N374" s="1" t="inlineStr">
        <is>
          <t>О</t>
        </is>
      </c>
      <c r="O374" s="9" t="n">
        <v>5</v>
      </c>
      <c r="P374" s="1">
        <f>ROUNDUP(1160*(1-$F$3),2)</f>
        <v/>
      </c>
      <c r="Q374" s="1" t="inlineStr">
        <is>
          <t> </t>
        </is>
      </c>
      <c r="R374" s="1" t="inlineStr">
        <is>
          <t>978-5-386-14793-8</t>
        </is>
      </c>
      <c r="S374" s="1" t="inlineStr">
        <is>
          <t>9785386147938</t>
        </is>
      </c>
      <c r="T374" s="9" t="n">
        <v>10</v>
      </c>
      <c r="U374" s="1">
        <f>ROUNDUP(1054.55*(1-$F$3),2)</f>
        <v/>
      </c>
      <c r="V374" s="1" t="n">
        <v>455</v>
      </c>
      <c r="Y374" s="1" t="inlineStr">
        <is>
          <t>Воспоминания о будущем. Идеи современной экономики</t>
        </is>
      </c>
      <c r="Z374" s="1" t="inlineStr">
        <is>
          <t>16+</t>
        </is>
      </c>
      <c r="AA374" s="12" t="n">
        <v>44785</v>
      </c>
      <c r="AB374" s="1" t="inlineStr">
        <is>
          <t>Экономика. Экономические науки</t>
        </is>
      </c>
      <c r="AC374" s="1" t="inlineStr">
        <is>
          <t>Экономика</t>
        </is>
      </c>
      <c r="AD374" s="1" t="inlineStr">
        <is>
          <t>Экономическая теория</t>
        </is>
      </c>
      <c r="AE374" s="1" t="inlineStr">
        <is>
          <t>офсетная</t>
        </is>
      </c>
      <c r="AG374" s="1" t="n">
        <v>10499490</v>
      </c>
      <c r="AI374" s="1" t="inlineStr">
        <is>
          <t>4901990000</t>
        </is>
      </c>
    </row>
    <row r="375" customFormat="1" s="1">
      <c r="C375" s="1" t="inlineStr">
        <is>
          <t xml:space="preserve">10488800            </t>
        </is>
      </c>
      <c r="D375" s="1" t="inlineStr">
        <is>
          <t>Red Book</t>
        </is>
      </c>
      <c r="E375" s="1" t="inlineStr">
        <is>
          <t>Как читать людей. Расшифровка скрытого смысла 1000 жестов, поз и мимики. Мессинжер Ж.</t>
        </is>
      </c>
      <c r="F375" s="13" t="inlineStr">
        <is>
          <t>См.обл.</t>
        </is>
      </c>
      <c r="G375" s="1" t="inlineStr">
        <is>
          <t>Мессинжер Ж.</t>
        </is>
      </c>
      <c r="H375" s="1" t="inlineStr">
        <is>
          <t>60х90/16</t>
        </is>
      </c>
      <c r="I375" s="1" t="n">
        <v>720</v>
      </c>
      <c r="J375" s="1" t="inlineStr">
        <is>
          <t>РИПОЛ Классик</t>
        </is>
      </c>
      <c r="M375" s="1" t="inlineStr">
        <is>
          <t>2025</t>
        </is>
      </c>
      <c r="N375" s="1" t="inlineStr">
        <is>
          <t>О</t>
        </is>
      </c>
      <c r="O375" s="9" t="n">
        <v>4</v>
      </c>
      <c r="P375" s="1">
        <f>ROUNDUP(980*(1-$F$3),2)</f>
        <v/>
      </c>
      <c r="Q375" s="1" t="inlineStr">
        <is>
          <t> </t>
        </is>
      </c>
      <c r="R375" s="1" t="inlineStr">
        <is>
          <t>978-5-386-14795-2</t>
        </is>
      </c>
      <c r="S375" s="1" t="inlineStr">
        <is>
          <t>9785386147952</t>
        </is>
      </c>
      <c r="T375" s="9" t="n">
        <v>10</v>
      </c>
      <c r="U375" s="1">
        <f>ROUNDUP(890.91*(1-$F$3),2)</f>
        <v/>
      </c>
      <c r="V375" s="1" t="n">
        <v>505</v>
      </c>
      <c r="Y375" s="1" t="inlineStr">
        <is>
          <t>Как читать людей. Расшифровка скрытого смысла 1000 жестов, поз и мимики</t>
        </is>
      </c>
      <c r="Z375" s="1" t="inlineStr">
        <is>
          <t>16+</t>
        </is>
      </c>
      <c r="AA375" s="12" t="n">
        <v>44785</v>
      </c>
      <c r="AB375" s="1" t="inlineStr">
        <is>
          <t>Гуманитарные науки</t>
        </is>
      </c>
      <c r="AC375" s="1" t="inlineStr">
        <is>
          <t>Психология</t>
        </is>
      </c>
      <c r="AD375" s="1" t="inlineStr">
        <is>
          <t>Прикладная психология</t>
        </is>
      </c>
      <c r="AE375" s="1" t="inlineStr">
        <is>
          <t>газетная</t>
        </is>
      </c>
      <c r="AG375" s="1" t="n">
        <v>10488800</v>
      </c>
      <c r="AI375" s="1" t="inlineStr">
        <is>
          <t>4901990000</t>
        </is>
      </c>
    </row>
    <row r="376" customFormat="1" s="1">
      <c r="C376" s="1" t="inlineStr">
        <is>
          <t xml:space="preserve">10409470            </t>
        </is>
      </c>
      <c r="D376" s="1" t="inlineStr">
        <is>
          <t>Red Book</t>
        </is>
      </c>
      <c r="E376" s="1" t="inlineStr">
        <is>
          <t>Лестница в небо. Книга о власти. Хазин М.Л., Щеглов С.И.</t>
        </is>
      </c>
      <c r="F376" s="13" t="inlineStr">
        <is>
          <t>См.обл.</t>
        </is>
      </c>
      <c r="G376" s="1" t="inlineStr">
        <is>
          <t>Хазин М.Л., Щеглов С.И.</t>
        </is>
      </c>
      <c r="H376" s="1" t="inlineStr">
        <is>
          <t>60х90/16</t>
        </is>
      </c>
      <c r="I376" s="1" t="n">
        <v>624</v>
      </c>
      <c r="J376" s="1" t="inlineStr">
        <is>
          <t>РИПОЛ Классик</t>
        </is>
      </c>
      <c r="M376" s="1" t="inlineStr">
        <is>
          <t>2026</t>
        </is>
      </c>
      <c r="N376" s="1" t="inlineStr">
        <is>
          <t>О</t>
        </is>
      </c>
      <c r="O376" s="9" t="n">
        <v>6</v>
      </c>
      <c r="P376" s="1">
        <f>ROUNDUP(940*(1-$F$3),2)</f>
        <v/>
      </c>
      <c r="Q376" s="1" t="inlineStr">
        <is>
          <t> </t>
        </is>
      </c>
      <c r="R376" s="1" t="inlineStr">
        <is>
          <t>978-5-386-14754-9</t>
        </is>
      </c>
      <c r="S376" s="1" t="inlineStr">
        <is>
          <t>9785386147549</t>
        </is>
      </c>
      <c r="T376" s="9" t="n">
        <v>10</v>
      </c>
      <c r="U376" s="1">
        <f>ROUNDUP(854.55*(1-$F$3),2)</f>
        <v/>
      </c>
      <c r="V376" s="1" t="n">
        <v>514</v>
      </c>
      <c r="Y376" s="1" t="inlineStr">
        <is>
          <t>Лестница в небо. Книга о власти</t>
        </is>
      </c>
      <c r="Z376" s="1" t="inlineStr">
        <is>
          <t>12+</t>
        </is>
      </c>
      <c r="AA376" s="12" t="n">
        <v>44708</v>
      </c>
      <c r="AB376" s="1" t="inlineStr">
        <is>
          <t>Общественные науки</t>
        </is>
      </c>
      <c r="AC376" s="1" t="inlineStr">
        <is>
          <t>Политика</t>
        </is>
      </c>
      <c r="AD376" s="1" t="inlineStr">
        <is>
          <t>Государственное управление. Власть</t>
        </is>
      </c>
      <c r="AE376" s="1" t="inlineStr">
        <is>
          <t>газетная</t>
        </is>
      </c>
      <c r="AG376" s="1" t="n">
        <v>10409470</v>
      </c>
      <c r="AI376" s="1" t="inlineStr">
        <is>
          <t>4901990000</t>
        </is>
      </c>
    </row>
    <row r="377" customFormat="1" s="1">
      <c r="C377" s="1" t="inlineStr">
        <is>
          <t xml:space="preserve">11118070            </t>
        </is>
      </c>
      <c r="D377" s="1" t="inlineStr">
        <is>
          <t>Stand-alone</t>
        </is>
      </c>
      <c r="E377" s="1" t="inlineStr">
        <is>
          <t>Черные бабочки. Моди</t>
        </is>
      </c>
      <c r="F377" s="13" t="inlineStr">
        <is>
          <t>См.обл.</t>
        </is>
      </c>
      <c r="G377" s="1" t="inlineStr">
        <is>
          <t>Моди</t>
        </is>
      </c>
      <c r="H377" s="1" t="inlineStr">
        <is>
          <t>60х90/16</t>
        </is>
      </c>
      <c r="I377" s="1" t="n">
        <v>224</v>
      </c>
      <c r="J377" s="1" t="inlineStr">
        <is>
          <t>РИПОЛ Классик</t>
        </is>
      </c>
      <c r="M377" s="1" t="inlineStr">
        <is>
          <t>2024</t>
        </is>
      </c>
      <c r="N377" s="1" t="inlineStr">
        <is>
          <t>П</t>
        </is>
      </c>
      <c r="O377" s="9" t="n">
        <v>12</v>
      </c>
      <c r="P377" s="1">
        <f>ROUNDUP(840*(1-$F$3),2)</f>
        <v/>
      </c>
      <c r="Q377" s="1" t="inlineStr">
        <is>
          <t> </t>
        </is>
      </c>
      <c r="R377" s="1" t="inlineStr">
        <is>
          <t>978-5-386-15025-9</t>
        </is>
      </c>
      <c r="S377" s="1" t="inlineStr">
        <is>
          <t>9785386150259</t>
        </is>
      </c>
      <c r="T377" s="9" t="n">
        <v>22</v>
      </c>
      <c r="U377" s="1">
        <f>ROUNDUP(688.52*(1-$F$3),2)</f>
        <v/>
      </c>
      <c r="V377" s="1" t="n">
        <v>336</v>
      </c>
      <c r="Y377" s="1" t="inlineStr">
        <is>
          <t>Черные бабочки</t>
        </is>
      </c>
      <c r="Z377" s="1" t="inlineStr">
        <is>
          <t>18+</t>
        </is>
      </c>
      <c r="AA377" s="12" t="n">
        <v>45242</v>
      </c>
      <c r="AB377" s="1" t="inlineStr">
        <is>
          <t>Художественная литература</t>
        </is>
      </c>
      <c r="AC377" s="1" t="inlineStr">
        <is>
          <t>Детективы. Боевики. Триллеры</t>
        </is>
      </c>
      <c r="AD377" s="1" t="inlineStr">
        <is>
          <t>Триллеры</t>
        </is>
      </c>
      <c r="AE377" s="1" t="inlineStr">
        <is>
          <t>офсетная</t>
        </is>
      </c>
      <c r="AG377" s="1" t="n">
        <v>11118070</v>
      </c>
      <c r="AI377" s="1" t="inlineStr">
        <is>
          <t>4901990000</t>
        </is>
      </c>
      <c r="AJ377" s="1" t="inlineStr">
        <is>
          <t>Зпв</t>
        </is>
      </c>
    </row>
    <row r="378" customFormat="1" s="1">
      <c r="C378" s="1" t="inlineStr">
        <is>
          <t xml:space="preserve">9053750             </t>
        </is>
      </c>
      <c r="D378" s="1" t="inlineStr">
        <is>
          <t>StorytelOriginal</t>
        </is>
      </c>
      <c r="E378" s="1" t="inlineStr">
        <is>
          <t>Вирус. Оберг Д.</t>
        </is>
      </c>
      <c r="F378" s="13" t="inlineStr">
        <is>
          <t>См.обл.</t>
        </is>
      </c>
      <c r="G378" s="1" t="inlineStr">
        <is>
          <t>Оберг Д.</t>
        </is>
      </c>
      <c r="H378" s="1" t="inlineStr">
        <is>
          <t>84х108/32</t>
        </is>
      </c>
      <c r="I378" s="1" t="n">
        <v>279</v>
      </c>
      <c r="J378" s="1" t="inlineStr">
        <is>
          <t>РИПОЛ Классик</t>
        </is>
      </c>
      <c r="M378" s="1" t="inlineStr">
        <is>
          <t>2019</t>
        </is>
      </c>
      <c r="N378" s="1" t="inlineStr">
        <is>
          <t>О</t>
        </is>
      </c>
      <c r="O378" s="9" t="n">
        <v>14</v>
      </c>
      <c r="P378" s="1">
        <f>ROUNDUP(545.9*(1-$F$3),2)</f>
        <v/>
      </c>
      <c r="Q378" s="1" t="inlineStr">
        <is>
          <t> </t>
        </is>
      </c>
      <c r="R378" s="1" t="inlineStr">
        <is>
          <t>978-5-386-12663-6</t>
        </is>
      </c>
      <c r="S378" s="1" t="inlineStr">
        <is>
          <t>9785386126636</t>
        </is>
      </c>
      <c r="T378" s="9" t="n">
        <v>10</v>
      </c>
      <c r="U378" s="1">
        <f>ROUNDUP(496.27*(1-$F$3),2)</f>
        <v/>
      </c>
      <c r="V378" s="1" t="n">
        <v>253</v>
      </c>
      <c r="Y378" s="1" t="inlineStr">
        <is>
          <t>Вирус</t>
        </is>
      </c>
      <c r="Z378" s="1" t="inlineStr">
        <is>
          <t>16+</t>
        </is>
      </c>
      <c r="AA378" s="12" t="n">
        <v>43640</v>
      </c>
      <c r="AB378" s="1" t="inlineStr">
        <is>
          <t>Художественная литература</t>
        </is>
      </c>
      <c r="AC378" s="1" t="inlineStr">
        <is>
          <t>Зарубежная литература</t>
        </is>
      </c>
      <c r="AD378" s="1" t="inlineStr">
        <is>
          <t>Европейская литература</t>
        </is>
      </c>
      <c r="AE378" s="1" t="inlineStr">
        <is>
          <t>офсетная</t>
        </is>
      </c>
      <c r="AG378" s="1" t="n">
        <v>9053750</v>
      </c>
      <c r="AI378" s="1" t="inlineStr">
        <is>
          <t>4901990000</t>
        </is>
      </c>
    </row>
    <row r="379" customFormat="1" s="1">
      <c r="C379" s="1" t="inlineStr">
        <is>
          <t xml:space="preserve">9062090             </t>
        </is>
      </c>
      <c r="D379" s="1" t="inlineStr">
        <is>
          <t>StorytelOriginal</t>
        </is>
      </c>
      <c r="E379" s="1" t="inlineStr">
        <is>
          <t>Леди-детектив: роман. Магрс П.</t>
        </is>
      </c>
      <c r="F379" s="13" t="inlineStr">
        <is>
          <t>См.обл.</t>
        </is>
      </c>
      <c r="G379" s="1" t="inlineStr">
        <is>
          <t>Магрс П.</t>
        </is>
      </c>
      <c r="H379" s="1" t="inlineStr">
        <is>
          <t>84х108/32</t>
        </is>
      </c>
      <c r="I379" s="1" t="n">
        <v>367</v>
      </c>
      <c r="J379" s="1" t="inlineStr">
        <is>
          <t>РИПОЛ Классик</t>
        </is>
      </c>
      <c r="M379" s="1" t="inlineStr">
        <is>
          <t>2019</t>
        </is>
      </c>
      <c r="N379" s="1" t="inlineStr">
        <is>
          <t>О</t>
        </is>
      </c>
      <c r="O379" s="9" t="n">
        <v>10</v>
      </c>
      <c r="P379" s="1">
        <f>ROUNDUP(682.4*(1-$F$3),2)</f>
        <v/>
      </c>
      <c r="Q379" s="1" t="inlineStr">
        <is>
          <t> </t>
        </is>
      </c>
      <c r="R379" s="1" t="inlineStr">
        <is>
          <t>978-5-386-12662-9</t>
        </is>
      </c>
      <c r="S379" s="1" t="inlineStr">
        <is>
          <t>9785386126629</t>
        </is>
      </c>
      <c r="T379" s="9" t="n">
        <v>10</v>
      </c>
      <c r="U379" s="1">
        <f>ROUNDUP(620.36*(1-$F$3),2)</f>
        <v/>
      </c>
      <c r="V379" s="1" t="n">
        <v>331</v>
      </c>
      <c r="Y379" s="1" t="inlineStr">
        <is>
          <t>Леди-детектив: роман</t>
        </is>
      </c>
      <c r="Z379" s="1" t="inlineStr">
        <is>
          <t>16+</t>
        </is>
      </c>
      <c r="AA379" s="12" t="n">
        <v>43647</v>
      </c>
      <c r="AB379" s="1" t="inlineStr">
        <is>
          <t>Художественная литература</t>
        </is>
      </c>
      <c r="AC379" s="1" t="inlineStr">
        <is>
          <t>Детективы. Боевики. Триллеры</t>
        </is>
      </c>
      <c r="AD379" s="1" t="inlineStr">
        <is>
          <t>Зарубежный детектив</t>
        </is>
      </c>
      <c r="AE379" s="1" t="inlineStr">
        <is>
          <t>офсетная</t>
        </is>
      </c>
      <c r="AG379" s="1" t="n">
        <v>9062090</v>
      </c>
      <c r="AI379" s="1" t="inlineStr">
        <is>
          <t>4901990000</t>
        </is>
      </c>
    </row>
    <row r="380" customFormat="1" s="1">
      <c r="C380" s="1" t="inlineStr">
        <is>
          <t xml:space="preserve">9675470             </t>
        </is>
      </c>
      <c r="D380" s="1" t="inlineStr">
        <is>
          <t>Strong Story</t>
        </is>
      </c>
      <c r="E380" s="1" t="inlineStr">
        <is>
          <t>Главарь банды на день. Изгой-социолог выходит на улицы. Венкатеш С.</t>
        </is>
      </c>
      <c r="F380" s="13" t="inlineStr">
        <is>
          <t>См.обл.</t>
        </is>
      </c>
      <c r="G380" s="1" t="inlineStr">
        <is>
          <t>Венкатеш С.</t>
        </is>
      </c>
      <c r="H380" s="1" t="inlineStr">
        <is>
          <t>84х108/32</t>
        </is>
      </c>
      <c r="I380" s="1" t="n">
        <v>368</v>
      </c>
      <c r="J380" s="1" t="inlineStr">
        <is>
          <t>РИПОЛ Классик</t>
        </is>
      </c>
      <c r="M380" s="1" t="inlineStr">
        <is>
          <t>2021</t>
        </is>
      </c>
      <c r="N380" s="1" t="inlineStr">
        <is>
          <t>П</t>
        </is>
      </c>
      <c r="O380" s="9" t="n">
        <v>8</v>
      </c>
      <c r="P380" s="1">
        <f>ROUNDUP(1070*(1-$F$3),2)</f>
        <v/>
      </c>
      <c r="Q380" s="1" t="inlineStr">
        <is>
          <t> </t>
        </is>
      </c>
      <c r="R380" s="1" t="inlineStr">
        <is>
          <t>978-5-386-14143-1</t>
        </is>
      </c>
      <c r="S380" s="1" t="inlineStr">
        <is>
          <t>9785386141431</t>
        </is>
      </c>
      <c r="T380" s="9" t="n">
        <v>10</v>
      </c>
      <c r="U380" s="1">
        <f>ROUNDUP(972.73*(1-$F$3),2)</f>
        <v/>
      </c>
      <c r="V380" s="1" t="n">
        <v>411</v>
      </c>
      <c r="Y380" s="1" t="inlineStr">
        <is>
          <t>Главарь банды на день. Изгой-социолог выходит на улицы</t>
        </is>
      </c>
      <c r="Z380" s="1" t="inlineStr">
        <is>
          <t>16+</t>
        </is>
      </c>
      <c r="AA380" s="12" t="n">
        <v>44308</v>
      </c>
      <c r="AB380" s="1" t="inlineStr">
        <is>
          <t>Гуманитарные науки</t>
        </is>
      </c>
      <c r="AC380" s="1" t="inlineStr">
        <is>
          <t>Психология</t>
        </is>
      </c>
      <c r="AD380" s="1" t="inlineStr">
        <is>
          <t>Социальная психология. Психология отношений. Коммуникации</t>
        </is>
      </c>
      <c r="AE380" s="1" t="inlineStr">
        <is>
          <t>офсетная</t>
        </is>
      </c>
      <c r="AG380" s="1" t="n">
        <v>9675470</v>
      </c>
      <c r="AI380" s="1" t="inlineStr">
        <is>
          <t>4901990000</t>
        </is>
      </c>
      <c r="AJ380" s="1" t="inlineStr">
        <is>
          <t>Зпв</t>
        </is>
      </c>
    </row>
    <row r="381" customFormat="1" s="1">
      <c r="C381" s="1" t="inlineStr">
        <is>
          <t xml:space="preserve">9703310             </t>
        </is>
      </c>
      <c r="D381" s="1" t="inlineStr">
        <is>
          <t>Strong Story</t>
        </is>
      </c>
      <c r="E381" s="1" t="inlineStr">
        <is>
          <t>Клуб элит. Вюргер Т.</t>
        </is>
      </c>
      <c r="F381" s="13" t="inlineStr">
        <is>
          <t>См.обл.</t>
        </is>
      </c>
      <c r="G381" s="1" t="inlineStr">
        <is>
          <t>Вюргер Т.</t>
        </is>
      </c>
      <c r="H381" s="1" t="inlineStr">
        <is>
          <t>84х108/32</t>
        </is>
      </c>
      <c r="I381" s="1" t="n">
        <v>240</v>
      </c>
      <c r="J381" s="1" t="inlineStr">
        <is>
          <t>РИПОЛ Классик</t>
        </is>
      </c>
      <c r="M381" s="1" t="inlineStr">
        <is>
          <t>2021</t>
        </is>
      </c>
      <c r="N381" s="1" t="inlineStr">
        <is>
          <t>П</t>
        </is>
      </c>
      <c r="O381" s="9" t="n">
        <v>12</v>
      </c>
      <c r="P381" s="1">
        <f>ROUNDUP(1100*(1-$F$3),2)</f>
        <v/>
      </c>
      <c r="Q381" s="1" t="inlineStr">
        <is>
          <t> </t>
        </is>
      </c>
      <c r="R381" s="1" t="inlineStr">
        <is>
          <t>978-5-386-14108-0</t>
        </is>
      </c>
      <c r="S381" s="1" t="inlineStr">
        <is>
          <t>9785386141080</t>
        </is>
      </c>
      <c r="T381" s="9" t="n">
        <v>10</v>
      </c>
      <c r="U381" s="1">
        <f>ROUNDUP(1000*(1-$F$3),2)</f>
        <v/>
      </c>
      <c r="V381" s="1" t="n">
        <v>299</v>
      </c>
      <c r="Y381" s="1" t="inlineStr">
        <is>
          <t>Клуб элит</t>
        </is>
      </c>
      <c r="Z381" s="1" t="inlineStr">
        <is>
          <t>16+</t>
        </is>
      </c>
      <c r="AA381" s="12" t="n">
        <v>44307</v>
      </c>
      <c r="AB381" s="1" t="inlineStr">
        <is>
          <t>Художественная литература</t>
        </is>
      </c>
      <c r="AC381" s="1" t="inlineStr">
        <is>
          <t>Детективы. Боевики. Триллеры</t>
        </is>
      </c>
      <c r="AD381" s="1" t="inlineStr">
        <is>
          <t>Зарубежный детектив</t>
        </is>
      </c>
      <c r="AE381" s="1" t="inlineStr">
        <is>
          <t>офсетная</t>
        </is>
      </c>
      <c r="AG381" s="1" t="n">
        <v>9703310</v>
      </c>
      <c r="AI381" s="1" t="inlineStr">
        <is>
          <t>4901990000</t>
        </is>
      </c>
      <c r="AJ381" s="1" t="inlineStr">
        <is>
          <t>Зпв</t>
        </is>
      </c>
    </row>
    <row r="382" customFormat="1" s="1">
      <c r="C382" s="1" t="inlineStr">
        <is>
          <t xml:space="preserve">11577900            </t>
        </is>
      </c>
      <c r="D382" s="1" t="inlineStr">
        <is>
          <t>True crime</t>
        </is>
      </c>
      <c r="E382" s="1" t="inlineStr">
        <is>
          <t>Исчезнувшая в полночь. Андерсон Дж.</t>
        </is>
      </c>
      <c r="F382" s="13" t="inlineStr">
        <is>
          <t>См.обл.</t>
        </is>
      </c>
      <c r="G382" s="1" t="inlineStr">
        <is>
          <t>Андерсон Дж.</t>
        </is>
      </c>
      <c r="H382" s="1" t="inlineStr">
        <is>
          <t>60х90/16</t>
        </is>
      </c>
      <c r="I382" s="1" t="n">
        <v>416</v>
      </c>
      <c r="J382" s="1" t="inlineStr">
        <is>
          <t>РИПОЛ Классик</t>
        </is>
      </c>
      <c r="M382" s="1" t="inlineStr">
        <is>
          <t>2025</t>
        </is>
      </c>
      <c r="N382" s="1" t="inlineStr">
        <is>
          <t>П</t>
        </is>
      </c>
      <c r="O382" s="9" t="n">
        <v>6</v>
      </c>
      <c r="P382" s="1">
        <f>ROUNDUP(1350*(1-$F$3),2)</f>
        <v/>
      </c>
      <c r="Q382" s="1" t="inlineStr">
        <is>
          <t> </t>
        </is>
      </c>
      <c r="R382" s="1" t="inlineStr">
        <is>
          <t>978-5-386-15167-6</t>
        </is>
      </c>
      <c r="S382" s="1" t="inlineStr">
        <is>
          <t>9785386151676</t>
        </is>
      </c>
      <c r="T382" s="9" t="n">
        <v>22</v>
      </c>
      <c r="U382" s="1">
        <f>ROUNDUP(1106.56*(1-$F$3),2)</f>
        <v/>
      </c>
      <c r="V382" s="1" t="n">
        <v>505</v>
      </c>
      <c r="Y382" s="1" t="inlineStr">
        <is>
          <t>Исчезнувшая в полночь</t>
        </is>
      </c>
      <c r="Z382" s="1" t="inlineStr">
        <is>
          <t>18+</t>
        </is>
      </c>
      <c r="AA382" s="12" t="n">
        <v>45685</v>
      </c>
      <c r="AB382" s="1" t="inlineStr">
        <is>
          <t>Художественная литература</t>
        </is>
      </c>
      <c r="AC382" s="1" t="inlineStr">
        <is>
          <t>Детективы. Боевики. Триллеры</t>
        </is>
      </c>
      <c r="AD382" s="1" t="inlineStr">
        <is>
          <t>Зарубежный детектив</t>
        </is>
      </c>
      <c r="AE382" s="1" t="inlineStr">
        <is>
          <t>офсетная</t>
        </is>
      </c>
      <c r="AG382" s="1" t="n">
        <v>11577900</v>
      </c>
      <c r="AI382" s="1" t="inlineStr">
        <is>
          <t>4901990000</t>
        </is>
      </c>
    </row>
    <row r="383" customFormat="1" s="1">
      <c r="C383" s="1" t="inlineStr">
        <is>
          <t xml:space="preserve">9879830             </t>
        </is>
      </c>
      <c r="D383" s="1" t="inlineStr">
        <is>
          <t>True story</t>
        </is>
      </c>
      <c r="E383" s="1" t="inlineStr">
        <is>
          <t>Самый одинокий полярный мишка. Уильямс К</t>
        </is>
      </c>
      <c r="F383" s="13" t="inlineStr">
        <is>
          <t>См.обл.</t>
        </is>
      </c>
      <c r="G383" s="1" t="inlineStr">
        <is>
          <t>Уильямс К</t>
        </is>
      </c>
      <c r="H383" s="1" t="inlineStr">
        <is>
          <t>60х90/16</t>
        </is>
      </c>
      <c r="I383" s="1" t="n">
        <v>352</v>
      </c>
      <c r="J383" s="1" t="inlineStr">
        <is>
          <t>РИПОЛ Классик</t>
        </is>
      </c>
      <c r="M383" s="1" t="inlineStr">
        <is>
          <t>2021</t>
        </is>
      </c>
      <c r="N383" s="1" t="inlineStr">
        <is>
          <t>О</t>
        </is>
      </c>
      <c r="O383" s="9" t="n">
        <v>10</v>
      </c>
      <c r="P383" s="1">
        <f>ROUNDUP(1010*(1-$F$3),2)</f>
        <v/>
      </c>
      <c r="Q383" s="1" t="inlineStr">
        <is>
          <t> </t>
        </is>
      </c>
      <c r="R383" s="1" t="inlineStr">
        <is>
          <t>978-5-386-14505-7</t>
        </is>
      </c>
      <c r="S383" s="1" t="inlineStr">
        <is>
          <t>9785386145057</t>
        </is>
      </c>
      <c r="T383" s="9" t="n">
        <v>10</v>
      </c>
      <c r="U383" s="1">
        <f>ROUNDUP(918.18*(1-$F$3),2)</f>
        <v/>
      </c>
      <c r="V383" s="1" t="n">
        <v>366</v>
      </c>
      <c r="Y383" s="1" t="inlineStr">
        <is>
          <t>Самый одинокий полярный мишка</t>
        </is>
      </c>
      <c r="Z383" s="1" t="inlineStr">
        <is>
          <t>16+</t>
        </is>
      </c>
      <c r="AA383" s="12" t="n">
        <v>44523</v>
      </c>
      <c r="AB383" s="1" t="inlineStr">
        <is>
          <t>Естественные науки. Математика</t>
        </is>
      </c>
      <c r="AC383" s="1" t="inlineStr">
        <is>
          <t>Экология</t>
        </is>
      </c>
      <c r="AD383" s="1" t="inlineStr">
        <is>
          <t>Социальная экология. Экология человека</t>
        </is>
      </c>
      <c r="AE383" s="1" t="inlineStr">
        <is>
          <t>офсетная</t>
        </is>
      </c>
      <c r="AG383" s="1" t="n">
        <v>9879830</v>
      </c>
      <c r="AI383" s="1" t="inlineStr">
        <is>
          <t>4901990000</t>
        </is>
      </c>
      <c r="AJ383" s="1" t="inlineStr">
        <is>
          <t>Зпв</t>
        </is>
      </c>
    </row>
    <row r="384" customFormat="1" s="1">
      <c r="C384" s="1" t="inlineStr">
        <is>
          <t xml:space="preserve">10320100            </t>
        </is>
      </c>
      <c r="D384" s="1" t="inlineStr">
        <is>
          <t>Untitled - fiction</t>
        </is>
      </c>
      <c r="E384" s="1" t="inlineStr">
        <is>
          <t>Девочки против бога: роман. Вал Е.</t>
        </is>
      </c>
      <c r="F384" s="13" t="inlineStr">
        <is>
          <t>См.обл.</t>
        </is>
      </c>
      <c r="G384" s="1" t="inlineStr">
        <is>
          <t>Вал Е.</t>
        </is>
      </c>
      <c r="H384" s="1" t="inlineStr">
        <is>
          <t>60х90/16</t>
        </is>
      </c>
      <c r="I384" s="1" t="n">
        <v>256</v>
      </c>
      <c r="J384" s="1" t="inlineStr">
        <is>
          <t>РИПОЛ Классик</t>
        </is>
      </c>
      <c r="M384" s="1" t="inlineStr">
        <is>
          <t>2022</t>
        </is>
      </c>
      <c r="N384" s="1" t="inlineStr">
        <is>
          <t>П</t>
        </is>
      </c>
      <c r="O384" s="9" t="n">
        <v>12</v>
      </c>
      <c r="P384" s="1">
        <f>ROUNDUP(1100*(1-$F$3),2)</f>
        <v/>
      </c>
      <c r="Q384" s="1" t="inlineStr">
        <is>
          <t> </t>
        </is>
      </c>
      <c r="R384" s="1" t="inlineStr">
        <is>
          <t>978-5-386-14692-4</t>
        </is>
      </c>
      <c r="S384" s="1" t="inlineStr">
        <is>
          <t>9785386146924</t>
        </is>
      </c>
      <c r="T384" s="9" t="n">
        <v>10</v>
      </c>
      <c r="U384" s="1">
        <f>ROUNDUP(1000*(1-$F$3),2)</f>
        <v/>
      </c>
      <c r="V384" s="1" t="n">
        <v>351</v>
      </c>
      <c r="Y384" s="1" t="inlineStr">
        <is>
          <t>Девочки против бога: роман</t>
        </is>
      </c>
      <c r="Z384" s="1" t="inlineStr">
        <is>
          <t>18+</t>
        </is>
      </c>
      <c r="AA384" s="12" t="n">
        <v>44685</v>
      </c>
      <c r="AB384" s="1" t="inlineStr">
        <is>
          <t>Художественная литература</t>
        </is>
      </c>
      <c r="AC384" s="1" t="inlineStr">
        <is>
          <t>Зарубежная литература</t>
        </is>
      </c>
      <c r="AD384" s="1" t="inlineStr">
        <is>
          <t>Европейская литература</t>
        </is>
      </c>
      <c r="AE384" s="1" t="inlineStr">
        <is>
          <t>офсетная</t>
        </is>
      </c>
      <c r="AG384" s="1" t="n">
        <v>10320100</v>
      </c>
      <c r="AI384" s="1" t="inlineStr">
        <is>
          <t>4901990000</t>
        </is>
      </c>
      <c r="AJ384" s="1" t="inlineStr">
        <is>
          <t>Зпв</t>
        </is>
      </c>
    </row>
    <row r="385" customFormat="1" s="1">
      <c r="C385" s="1" t="inlineStr">
        <is>
          <t xml:space="preserve">10569040            </t>
        </is>
      </c>
      <c r="D385" s="1" t="inlineStr">
        <is>
          <t>Untitled - fiction</t>
        </is>
      </c>
      <c r="E385" s="1" t="inlineStr">
        <is>
          <t>Слабак. Уэллс Дж.</t>
        </is>
      </c>
      <c r="F385" s="13" t="inlineStr">
        <is>
          <t>См.обл.</t>
        </is>
      </c>
      <c r="G385" s="1" t="inlineStr">
        <is>
          <t>Уэллс Дж.</t>
        </is>
      </c>
      <c r="H385" s="1" t="inlineStr">
        <is>
          <t>60х90/16</t>
        </is>
      </c>
      <c r="I385" s="1" t="n">
        <v>384</v>
      </c>
      <c r="J385" s="1" t="inlineStr">
        <is>
          <t>РИПОЛ Классик</t>
        </is>
      </c>
      <c r="M385" s="1" t="inlineStr">
        <is>
          <t>2022</t>
        </is>
      </c>
      <c r="N385" s="1" t="inlineStr">
        <is>
          <t>П</t>
        </is>
      </c>
      <c r="O385" s="9" t="n">
        <v>8</v>
      </c>
      <c r="P385" s="1">
        <f>ROUNDUP(1260*(1-$F$3),2)</f>
        <v/>
      </c>
      <c r="Q385" s="1" t="inlineStr">
        <is>
          <t> </t>
        </is>
      </c>
      <c r="R385" s="1" t="inlineStr">
        <is>
          <t>978-5-386-14885-0</t>
        </is>
      </c>
      <c r="S385" s="1" t="inlineStr">
        <is>
          <t>9785386148850</t>
        </is>
      </c>
      <c r="T385" s="9" t="n">
        <v>22</v>
      </c>
      <c r="U385" s="1">
        <f>ROUNDUP(1032.79*(1-$F$3),2)</f>
        <v/>
      </c>
      <c r="V385" s="1" t="n">
        <v>479</v>
      </c>
      <c r="Y385" s="1" t="inlineStr">
        <is>
          <t>Слабак</t>
        </is>
      </c>
      <c r="Z385" s="1" t="inlineStr">
        <is>
          <t>18+</t>
        </is>
      </c>
      <c r="AA385" s="12" t="n">
        <v>44844</v>
      </c>
      <c r="AB385" s="1" t="inlineStr">
        <is>
          <t>Художественная литература</t>
        </is>
      </c>
      <c r="AC385" s="1" t="inlineStr">
        <is>
          <t>Зарубежная литература</t>
        </is>
      </c>
      <c r="AD385" s="1" t="inlineStr">
        <is>
          <t>Литература Америки и Австралии</t>
        </is>
      </c>
      <c r="AE385" s="1" t="inlineStr">
        <is>
          <t>офсетная</t>
        </is>
      </c>
      <c r="AG385" s="1" t="n">
        <v>10569040</v>
      </c>
      <c r="AI385" s="1" t="inlineStr">
        <is>
          <t>4901990000</t>
        </is>
      </c>
      <c r="AJ385" s="1" t="inlineStr">
        <is>
          <t>Зпв</t>
        </is>
      </c>
    </row>
    <row r="386" customFormat="1" s="1">
      <c r="C386" s="1" t="inlineStr">
        <is>
          <t xml:space="preserve">10613790            </t>
        </is>
      </c>
      <c r="D386" s="1" t="inlineStr">
        <is>
          <t>Автобиография</t>
        </is>
      </c>
      <c r="E386" s="1" t="inlineStr">
        <is>
          <t>Семь лет за колючей проволокой. Доценко В.</t>
        </is>
      </c>
      <c r="F386" s="13" t="inlineStr">
        <is>
          <t>См.обл.</t>
        </is>
      </c>
      <c r="G386" s="1" t="inlineStr">
        <is>
          <t>Доценко В.</t>
        </is>
      </c>
      <c r="H386" s="1" t="inlineStr">
        <is>
          <t>60х90/16</t>
        </is>
      </c>
      <c r="I386" s="1" t="n">
        <v>608</v>
      </c>
      <c r="J386" s="1" t="inlineStr">
        <is>
          <t>РИПОЛ Классик</t>
        </is>
      </c>
      <c r="M386" s="1" t="inlineStr">
        <is>
          <t>2023</t>
        </is>
      </c>
      <c r="N386" s="1" t="inlineStr">
        <is>
          <t>П</t>
        </is>
      </c>
      <c r="O386" s="9" t="n">
        <v>6</v>
      </c>
      <c r="P386" s="1">
        <f>ROUNDUP(1980*(1-$F$3),2)</f>
        <v/>
      </c>
      <c r="Q386" s="1" t="inlineStr">
        <is>
          <t> </t>
        </is>
      </c>
      <c r="R386" s="1" t="inlineStr">
        <is>
          <t>978-5-386-14871-3</t>
        </is>
      </c>
      <c r="S386" s="1" t="inlineStr">
        <is>
          <t>9785386148713</t>
        </is>
      </c>
      <c r="T386" s="9" t="n">
        <v>22</v>
      </c>
      <c r="U386" s="1">
        <f>ROUNDUP(1622.95*(1-$F$3),2)</f>
        <v/>
      </c>
      <c r="V386" s="1" t="n">
        <v>721</v>
      </c>
      <c r="Y386" s="1" t="inlineStr">
        <is>
          <t>Семь лет за колючей проволокой</t>
        </is>
      </c>
      <c r="Z386" s="1" t="inlineStr">
        <is>
          <t>18+</t>
        </is>
      </c>
      <c r="AA386" s="12" t="n">
        <v>44824</v>
      </c>
      <c r="AB386" s="1" t="inlineStr">
        <is>
          <t>Художественно-документальная проза</t>
        </is>
      </c>
      <c r="AC386" s="1" t="inlineStr">
        <is>
          <t>Биографии. Мемуары</t>
        </is>
      </c>
      <c r="AD386" s="1" t="inlineStr">
        <is>
          <t>Воспоминания. Дневники. Письма</t>
        </is>
      </c>
      <c r="AE386" s="1" t="inlineStr">
        <is>
          <t>офсетная</t>
        </is>
      </c>
      <c r="AG386" s="1" t="n">
        <v>10613790</v>
      </c>
      <c r="AI386" s="1" t="inlineStr">
        <is>
          <t>4901990000</t>
        </is>
      </c>
    </row>
    <row r="387" customFormat="1" s="1">
      <c r="C387" s="1" t="inlineStr">
        <is>
          <t xml:space="preserve">11934370            </t>
        </is>
      </c>
      <c r="D387" s="1" t="inlineStr">
        <is>
          <t>Авторская серия Владимира Аленикова</t>
        </is>
      </c>
      <c r="E387" s="1" t="inlineStr">
        <is>
          <t>Поиски любви. Алеников В.М.</t>
        </is>
      </c>
      <c r="F387" s="13" t="inlineStr">
        <is>
          <t>См.обл.</t>
        </is>
      </c>
      <c r="G387" s="1" t="inlineStr">
        <is>
          <t>Алеников В.М.</t>
        </is>
      </c>
      <c r="H387" s="1" t="inlineStr">
        <is>
          <t>60х90/16</t>
        </is>
      </c>
      <c r="I387" s="1" t="n">
        <v>432</v>
      </c>
      <c r="J387" s="1" t="inlineStr">
        <is>
          <t>РИПОЛ Классик</t>
        </is>
      </c>
      <c r="M387" s="1" t="inlineStr">
        <is>
          <t>2026</t>
        </is>
      </c>
      <c r="N387" s="1" t="inlineStr">
        <is>
          <t>П</t>
        </is>
      </c>
      <c r="O387" s="9" t="n">
        <v>7</v>
      </c>
      <c r="P387" s="1">
        <f>ROUNDUP(1500*(1-$F$3),2)</f>
        <v/>
      </c>
      <c r="Q387" s="1" t="inlineStr">
        <is>
          <t> </t>
        </is>
      </c>
      <c r="R387" s="1" t="inlineStr">
        <is>
          <t>978-5-386-15551-3</t>
        </is>
      </c>
      <c r="S387" s="1" t="inlineStr">
        <is>
          <t>9785386155513</t>
        </is>
      </c>
      <c r="T387" s="9" t="n">
        <v>22</v>
      </c>
      <c r="U387" s="1">
        <f>ROUNDUP(1229.51*(1-$F$3),2)</f>
        <v/>
      </c>
      <c r="V387" s="1" t="n">
        <v>607</v>
      </c>
      <c r="Y387" s="1" t="inlineStr">
        <is>
          <t>Поиски любви</t>
        </is>
      </c>
      <c r="Z387" s="1" t="inlineStr">
        <is>
          <t>18+</t>
        </is>
      </c>
      <c r="AA387" s="12" t="n">
        <v>45967</v>
      </c>
      <c r="AB387" s="1" t="inlineStr">
        <is>
          <t>Художественная литература</t>
        </is>
      </c>
      <c r="AC387" s="1" t="inlineStr">
        <is>
          <t>Русская литература</t>
        </is>
      </c>
      <c r="AD387" s="1" t="inlineStr">
        <is>
          <t>Современная литература</t>
        </is>
      </c>
      <c r="AE387" s="1" t="inlineStr">
        <is>
          <t>офсетная</t>
        </is>
      </c>
      <c r="AG387" s="1" t="n">
        <v>11934370</v>
      </c>
      <c r="AI387" s="1" t="inlineStr">
        <is>
          <t>4901990000</t>
        </is>
      </c>
    </row>
    <row r="388" customFormat="1" s="1">
      <c r="C388" s="1" t="inlineStr">
        <is>
          <t xml:space="preserve">9348600             </t>
        </is>
      </c>
      <c r="D388" s="1" t="inlineStr">
        <is>
          <t>Авторская серия Владимира Аленикова</t>
        </is>
      </c>
      <c r="E388" s="1" t="inlineStr">
        <is>
          <t>Спальный район. Алеников В.М.</t>
        </is>
      </c>
      <c r="F388" s="13" t="inlineStr">
        <is>
          <t>См.обл.</t>
        </is>
      </c>
      <c r="G388" s="1" t="inlineStr">
        <is>
          <t>Алеников В.М.</t>
        </is>
      </c>
      <c r="H388" s="1" t="inlineStr">
        <is>
          <t>60х90/16</t>
        </is>
      </c>
      <c r="I388" s="1" t="n">
        <v>166</v>
      </c>
      <c r="J388" s="1" t="inlineStr">
        <is>
          <t>РИПОЛ Классик</t>
        </is>
      </c>
      <c r="M388" s="1" t="inlineStr">
        <is>
          <t>2020</t>
        </is>
      </c>
      <c r="N388" s="1" t="inlineStr">
        <is>
          <t>О</t>
        </is>
      </c>
      <c r="O388" s="9" t="n">
        <v>24</v>
      </c>
      <c r="P388" s="1">
        <f>ROUNDUP(880*(1-$F$3),2)</f>
        <v/>
      </c>
      <c r="Q388" s="1" t="inlineStr">
        <is>
          <t> </t>
        </is>
      </c>
      <c r="R388" s="1" t="inlineStr">
        <is>
          <t>978-5-386-13579-9</t>
        </is>
      </c>
      <c r="S388" s="1" t="inlineStr">
        <is>
          <t>9785386135799</t>
        </is>
      </c>
      <c r="T388" s="9" t="n">
        <v>10</v>
      </c>
      <c r="U388" s="1">
        <f>ROUNDUP(800*(1-$F$3),2)</f>
        <v/>
      </c>
      <c r="V388" s="1" t="n">
        <v>192</v>
      </c>
      <c r="Y388" s="1" t="inlineStr">
        <is>
          <t>Спальный район</t>
        </is>
      </c>
      <c r="Z388" s="1" t="inlineStr">
        <is>
          <t>18+</t>
        </is>
      </c>
      <c r="AA388" s="12" t="n">
        <v>43894</v>
      </c>
      <c r="AB388" s="1" t="inlineStr">
        <is>
          <t>Художественная литература</t>
        </is>
      </c>
      <c r="AC388" s="1" t="inlineStr">
        <is>
          <t>Русская литература</t>
        </is>
      </c>
      <c r="AD388" s="1" t="inlineStr">
        <is>
          <t>Современная литература</t>
        </is>
      </c>
      <c r="AE388" s="1" t="inlineStr">
        <is>
          <t>офсетная</t>
        </is>
      </c>
      <c r="AG388" s="1" t="n">
        <v>9348600</v>
      </c>
      <c r="AI388" s="1" t="inlineStr">
        <is>
          <t>4901990000</t>
        </is>
      </c>
    </row>
    <row r="389" customFormat="1" s="1">
      <c r="C389" s="1" t="inlineStr">
        <is>
          <t xml:space="preserve">9284070             </t>
        </is>
      </c>
      <c r="D389" s="1" t="inlineStr">
        <is>
          <t>Авторская серия Владимира Аленикова</t>
        </is>
      </c>
      <c r="E389" s="1" t="inlineStr">
        <is>
          <t>Ублюдки. Алеников В.М.</t>
        </is>
      </c>
      <c r="F389" s="13" t="inlineStr">
        <is>
          <t>См.обл.</t>
        </is>
      </c>
      <c r="G389" s="1" t="inlineStr">
        <is>
          <t>Алеников В.М.</t>
        </is>
      </c>
      <c r="H389" s="1" t="inlineStr">
        <is>
          <t>60х90/16</t>
        </is>
      </c>
      <c r="I389" s="1" t="n">
        <v>186</v>
      </c>
      <c r="J389" s="1" t="inlineStr">
        <is>
          <t>РИПОЛ Классик</t>
        </is>
      </c>
      <c r="M389" s="1" t="inlineStr">
        <is>
          <t>2020</t>
        </is>
      </c>
      <c r="N389" s="1" t="inlineStr">
        <is>
          <t>О</t>
        </is>
      </c>
      <c r="O389" s="9" t="n">
        <v>22</v>
      </c>
      <c r="P389" s="1">
        <f>ROUNDUP(960*(1-$F$3),2)</f>
        <v/>
      </c>
      <c r="Q389" s="1" t="inlineStr">
        <is>
          <t> </t>
        </is>
      </c>
      <c r="R389" s="1" t="inlineStr">
        <is>
          <t>978-5-386-13576-8</t>
        </is>
      </c>
      <c r="S389" s="1" t="inlineStr">
        <is>
          <t>9785386135768</t>
        </is>
      </c>
      <c r="T389" s="9" t="n">
        <v>10</v>
      </c>
      <c r="U389" s="1">
        <f>ROUNDUP(872.73*(1-$F$3),2)</f>
        <v/>
      </c>
      <c r="V389" s="1" t="n">
        <v>211</v>
      </c>
      <c r="Y389" s="1" t="inlineStr">
        <is>
          <t>Ублюдки</t>
        </is>
      </c>
      <c r="Z389" s="1" t="inlineStr">
        <is>
          <t>18+</t>
        </is>
      </c>
      <c r="AA389" s="12" t="n">
        <v>43845</v>
      </c>
      <c r="AB389" s="1" t="inlineStr">
        <is>
          <t>Художественная литература</t>
        </is>
      </c>
      <c r="AC389" s="1" t="inlineStr">
        <is>
          <t>Русская литература</t>
        </is>
      </c>
      <c r="AD389" s="1" t="inlineStr">
        <is>
          <t>Современная литература</t>
        </is>
      </c>
      <c r="AE389" s="1" t="inlineStr">
        <is>
          <t>офсетная</t>
        </is>
      </c>
      <c r="AG389" s="1" t="n">
        <v>9284070</v>
      </c>
      <c r="AI389" s="1" t="inlineStr">
        <is>
          <t>4901990000</t>
        </is>
      </c>
    </row>
    <row r="390" customFormat="1" s="1">
      <c r="C390" s="1" t="inlineStr">
        <is>
          <t xml:space="preserve">8574000             </t>
        </is>
      </c>
      <c r="D390" s="1" t="inlineStr">
        <is>
          <t>Авторская серия Джона Рескина</t>
        </is>
      </c>
      <c r="E390" s="1" t="inlineStr">
        <is>
          <t>Оливковый венок. Рескин Дж.</t>
        </is>
      </c>
      <c r="F390" s="13" t="inlineStr">
        <is>
          <t>См.обл.</t>
        </is>
      </c>
      <c r="G390" s="1" t="inlineStr">
        <is>
          <t>Рескин Дж.</t>
        </is>
      </c>
      <c r="H390" s="1" t="inlineStr">
        <is>
          <t>60х90/16</t>
        </is>
      </c>
      <c r="I390" s="1" t="n">
        <v>178</v>
      </c>
      <c r="J390" s="1" t="inlineStr">
        <is>
          <t>РИПОЛ Классик</t>
        </is>
      </c>
      <c r="M390" s="1" t="inlineStr">
        <is>
          <t>2018</t>
        </is>
      </c>
      <c r="N390" s="1" t="inlineStr">
        <is>
          <t>П</t>
        </is>
      </c>
      <c r="O390" s="9" t="n">
        <v>16</v>
      </c>
      <c r="P390" s="1">
        <f>ROUNDUP(777.9*(1-$F$3),2)</f>
        <v/>
      </c>
      <c r="Q390" s="1" t="inlineStr">
        <is>
          <t> </t>
        </is>
      </c>
      <c r="R390" s="1" t="inlineStr">
        <is>
          <t>978-5-386-10690-4</t>
        </is>
      </c>
      <c r="S390" s="1" t="inlineStr">
        <is>
          <t>9785386106904</t>
        </is>
      </c>
      <c r="T390" s="9" t="n">
        <v>10</v>
      </c>
      <c r="U390" s="1">
        <f>ROUNDUP(707.18*(1-$F$3),2)</f>
        <v/>
      </c>
      <c r="V390" s="1" t="n">
        <v>301</v>
      </c>
      <c r="Y390" s="1" t="inlineStr">
        <is>
          <t>Оливковый венок</t>
        </is>
      </c>
      <c r="Z390" s="1" t="inlineStr">
        <is>
          <t>12+</t>
        </is>
      </c>
      <c r="AA390" s="12" t="n">
        <v>43201</v>
      </c>
      <c r="AB390" s="1" t="inlineStr">
        <is>
          <t>Гуманитарные науки</t>
        </is>
      </c>
      <c r="AC390" s="1" t="inlineStr">
        <is>
          <t>Философские науки</t>
        </is>
      </c>
      <c r="AD390" s="1" t="inlineStr">
        <is>
          <t>Эстетика</t>
        </is>
      </c>
      <c r="AE390" s="1" t="inlineStr">
        <is>
          <t>офсетная</t>
        </is>
      </c>
      <c r="AG390" s="1" t="n">
        <v>8574000</v>
      </c>
      <c r="AI390" s="1" t="inlineStr">
        <is>
          <t>4901990000</t>
        </is>
      </c>
    </row>
    <row r="391" customFormat="1" s="1">
      <c r="C391" s="1" t="inlineStr">
        <is>
          <t xml:space="preserve">8423220             </t>
        </is>
      </c>
      <c r="D391" s="1" t="inlineStr">
        <is>
          <t>Авторская серия Елены Граменицкой</t>
        </is>
      </c>
      <c r="E391" s="1" t="inlineStr">
        <is>
          <t>Скользящие души, или сказки Шварцвальда. Граменицкая Е.В.</t>
        </is>
      </c>
      <c r="F391" s="13" t="inlineStr">
        <is>
          <t>См.обл.</t>
        </is>
      </c>
      <c r="G391" s="1" t="inlineStr">
        <is>
          <t>Граменицкая Е.В.</t>
        </is>
      </c>
      <c r="H391" s="1" t="inlineStr">
        <is>
          <t>84х108/32</t>
        </is>
      </c>
      <c r="I391" s="1" t="n">
        <v>544</v>
      </c>
      <c r="J391" s="1" t="inlineStr">
        <is>
          <t>РИПОЛ Классик</t>
        </is>
      </c>
      <c r="M391" s="1" t="inlineStr">
        <is>
          <t>2020</t>
        </is>
      </c>
      <c r="N391" s="1" t="inlineStr">
        <is>
          <t>П</t>
        </is>
      </c>
      <c r="O391" s="9" t="n">
        <v>8</v>
      </c>
      <c r="P391" s="1">
        <f>ROUNDUP(1400*(1-$F$3),2)</f>
        <v/>
      </c>
      <c r="Q391" s="1" t="inlineStr">
        <is>
          <t> </t>
        </is>
      </c>
      <c r="R391" s="1" t="inlineStr">
        <is>
          <t>978-5-386-10392-7</t>
        </is>
      </c>
      <c r="S391" s="1" t="inlineStr">
        <is>
          <t>9785386103927</t>
        </is>
      </c>
      <c r="T391" s="9" t="n">
        <v>10</v>
      </c>
      <c r="U391" s="1">
        <f>ROUNDUP(1272.73*(1-$F$3),2)</f>
        <v/>
      </c>
      <c r="V391" s="1" t="n">
        <v>399</v>
      </c>
      <c r="Y391" s="1" t="inlineStr">
        <is>
          <t>Скользящие души, или сказки Шварцвальда</t>
        </is>
      </c>
      <c r="Z391" s="1" t="inlineStr">
        <is>
          <t>16+</t>
        </is>
      </c>
      <c r="AA391" s="12" t="n">
        <v>43099</v>
      </c>
      <c r="AB391" s="1" t="inlineStr">
        <is>
          <t>Художественная литература</t>
        </is>
      </c>
      <c r="AC391" s="1" t="inlineStr">
        <is>
          <t>Русская литература</t>
        </is>
      </c>
      <c r="AD391" s="1" t="inlineStr">
        <is>
          <t>Современная литература</t>
        </is>
      </c>
      <c r="AE391" s="1" t="inlineStr">
        <is>
          <t>офсетная</t>
        </is>
      </c>
      <c r="AG391" s="1" t="n">
        <v>8423220</v>
      </c>
      <c r="AI391" s="1" t="inlineStr">
        <is>
          <t>4901990000</t>
        </is>
      </c>
      <c r="AJ391" s="1" t="inlineStr">
        <is>
          <t>Зпв</t>
        </is>
      </c>
    </row>
    <row r="392" customFormat="1" s="1">
      <c r="C392" s="1" t="inlineStr">
        <is>
          <t xml:space="preserve">12071100            </t>
        </is>
      </c>
      <c r="D392" s="1" t="inlineStr">
        <is>
          <t>Авторы Шуфлядки</t>
        </is>
      </c>
      <c r="E392" s="1" t="inlineStr">
        <is>
          <t>Хронограф. Стрингель Е.</t>
        </is>
      </c>
      <c r="F392" s="13" t="inlineStr">
        <is>
          <t>См.обл.</t>
        </is>
      </c>
      <c r="G392" s="1" t="inlineStr">
        <is>
          <t>Стрингель Е.</t>
        </is>
      </c>
      <c r="H392" s="1" t="inlineStr">
        <is>
          <t>60х90/16</t>
        </is>
      </c>
      <c r="I392" s="1" t="n">
        <v>368</v>
      </c>
      <c r="J392" s="1" t="inlineStr">
        <is>
          <t>РИПОЛ Классик</t>
        </is>
      </c>
      <c r="M392" s="1" t="inlineStr">
        <is>
          <t>2026</t>
        </is>
      </c>
      <c r="N392" s="1" t="inlineStr">
        <is>
          <t>П</t>
        </is>
      </c>
      <c r="O392" s="9" t="n">
        <v>6</v>
      </c>
      <c r="P392" s="1">
        <f>ROUNDUP(850*(1-$F$3),2)</f>
        <v/>
      </c>
      <c r="Q392" s="1" t="inlineStr">
        <is>
          <t> </t>
        </is>
      </c>
      <c r="R392" s="1" t="inlineStr">
        <is>
          <t>978-5-386-15576-6</t>
        </is>
      </c>
      <c r="S392" s="1" t="inlineStr">
        <is>
          <t>9785386155766</t>
        </is>
      </c>
      <c r="T392" s="9" t="n">
        <v>10</v>
      </c>
      <c r="U392" s="1">
        <f>ROUNDUP(772.73*(1-$F$3),2)</f>
        <v/>
      </c>
      <c r="V392" s="1" t="n">
        <v>401</v>
      </c>
      <c r="Y392" s="1" t="inlineStr">
        <is>
          <t>Хронограф</t>
        </is>
      </c>
      <c r="Z392" s="1" t="inlineStr">
        <is>
          <t>16+</t>
        </is>
      </c>
      <c r="AA392" s="12" t="n">
        <v>46124</v>
      </c>
      <c r="AB392" s="1" t="inlineStr">
        <is>
          <t>Художественная литература</t>
        </is>
      </c>
      <c r="AC392" s="1" t="inlineStr">
        <is>
          <t>Русская литература</t>
        </is>
      </c>
      <c r="AD392" s="1" t="inlineStr">
        <is>
          <t>Современная литература</t>
        </is>
      </c>
      <c r="AE392" s="1" t="inlineStr">
        <is>
          <t>офсетная</t>
        </is>
      </c>
      <c r="AG392" s="1" t="n">
        <v>12071100</v>
      </c>
      <c r="AI392" s="1" t="inlineStr">
        <is>
          <t>4901990000</t>
        </is>
      </c>
    </row>
    <row r="393" customFormat="1" s="1">
      <c r="C393" s="1" t="inlineStr">
        <is>
          <t>12284660</t>
        </is>
      </c>
      <c r="D393" s="1" t="inlineStr">
        <is>
          <t>Академия кота Рифмоплёта</t>
        </is>
      </c>
      <c r="E393" s="1" t="inlineStr">
        <is>
          <t>Лекарство от повзросления/Снежная картина;Планета Котариус/Планета Мышариус;Круглый год стиховорот/Золотые лапки: раскраска (комплект из 3-х книг). Рахманова О.Н.</t>
        </is>
      </c>
      <c r="F393" s="13" t="inlineStr">
        <is>
          <t>См.обл.</t>
        </is>
      </c>
      <c r="G393" s="1" t="inlineStr">
        <is>
          <t>Рахманова О.Н.</t>
        </is>
      </c>
      <c r="H393" s="1" t="inlineStr">
        <is>
          <t>84х100/16</t>
        </is>
      </c>
      <c r="I393" s="1" t="n">
        <v>150</v>
      </c>
      <c r="J393" s="1" t="inlineStr">
        <is>
          <t>РИПОЛ Классик</t>
        </is>
      </c>
      <c r="M393" s="1" t="inlineStr">
        <is>
          <t>2026</t>
        </is>
      </c>
      <c r="N393" s="1" t="inlineStr">
        <is>
          <t>О</t>
        </is>
      </c>
      <c r="O393" s="9" t="n"/>
      <c r="P393" s="1">
        <f>ROUNDUP(1380*(1-$F$3),2)</f>
        <v/>
      </c>
      <c r="Q393" s="1" t="inlineStr">
        <is>
          <t> </t>
        </is>
      </c>
      <c r="R393" s="1" t="inlineStr">
        <is>
          <t>978-5-386-15758-6</t>
        </is>
      </c>
      <c r="S393" s="1" t="inlineStr">
        <is>
          <t>9785386157586</t>
        </is>
      </c>
      <c r="T393" s="9" t="n">
        <v>10</v>
      </c>
      <c r="U393" s="1">
        <f>ROUNDUP(1254.55*(1-$F$3),2)</f>
        <v/>
      </c>
      <c r="V393" s="1" t="n">
        <v>488</v>
      </c>
      <c r="Y393" s="1" t="inlineStr">
        <is>
          <t>Лекарство от повзросления/Снежная картина;Планета Котариус/Планета Мышариус;Круглый год стиховорот/Золотые лапки: раскраска (комплект из 3-х книг)</t>
        </is>
      </c>
      <c r="Z393" s="1" t="inlineStr">
        <is>
          <t>6 +</t>
        </is>
      </c>
      <c r="AA393" s="12" t="n">
        <v>46286</v>
      </c>
      <c r="AB393" s="1" t="inlineStr">
        <is>
          <t>Детская литература</t>
        </is>
      </c>
      <c r="AC393" s="1" t="inlineStr">
        <is>
          <t>Детское творчество и досуг</t>
        </is>
      </c>
      <c r="AD393" s="1" t="inlineStr">
        <is>
          <t>Рисование. Раскраски</t>
        </is>
      </c>
      <c r="AE393" s="1" t="inlineStr">
        <is>
          <t>офсетная</t>
        </is>
      </c>
      <c r="AG393" s="1" t="n">
        <v>12284660</v>
      </c>
      <c r="AI393" s="1" t="inlineStr">
        <is>
          <t>4903000000</t>
        </is>
      </c>
    </row>
    <row r="394" customFormat="1" s="1">
      <c r="C394" s="1" t="inlineStr">
        <is>
          <t xml:space="preserve">9975510             </t>
        </is>
      </c>
      <c r="D394" s="1" t="inlineStr">
        <is>
          <t>Амулеты Степановой Н.И.</t>
        </is>
      </c>
      <c r="E394" s="1" t="inlineStr">
        <is>
          <t xml:space="preserve">Амулет "Матронушка". </t>
        </is>
      </c>
      <c r="F394" s="13" t="inlineStr">
        <is>
          <t>См.обл.</t>
        </is>
      </c>
      <c r="I394" s="1" t="n">
        <v>2</v>
      </c>
      <c r="J394" s="1" t="inlineStr">
        <is>
          <t>РИПОЛ Классик</t>
        </is>
      </c>
      <c r="M394" s="1" t="inlineStr">
        <is>
          <t>2021</t>
        </is>
      </c>
      <c r="N394" s="1" t="inlineStr">
        <is>
          <t>П</t>
        </is>
      </c>
      <c r="O394" s="9" t="n">
        <v>1</v>
      </c>
      <c r="P394" s="1">
        <f>ROUNDUP(950*(1-$F$3),2)</f>
        <v/>
      </c>
      <c r="Q394" s="1" t="inlineStr">
        <is>
          <t> </t>
        </is>
      </c>
      <c r="R394" s="1" t="inlineStr">
        <is>
          <t>978-5-386-13973-5</t>
        </is>
      </c>
      <c r="S394" s="1" t="inlineStr">
        <is>
          <t>9785386139735</t>
        </is>
      </c>
      <c r="T394" s="9" t="n">
        <v>22</v>
      </c>
      <c r="U394" s="1">
        <f>ROUNDUP(778.69*(1-$F$3),2)</f>
        <v/>
      </c>
      <c r="V394" s="1" t="n">
        <v>0</v>
      </c>
      <c r="Y394" s="1" t="inlineStr">
        <is>
          <t>Амулет "Матронушка"</t>
        </is>
      </c>
      <c r="AA394" s="12" t="n">
        <v>44466</v>
      </c>
      <c r="AB394" s="1" t="inlineStr">
        <is>
          <t> </t>
        </is>
      </c>
      <c r="AC394" s="1" t="inlineStr">
        <is>
          <t> </t>
        </is>
      </c>
      <c r="AD394" s="1" t="inlineStr">
        <is>
          <t> </t>
        </is>
      </c>
      <c r="AE394" s="1" t="inlineStr">
        <is>
          <t> </t>
        </is>
      </c>
      <c r="AG394" s="1" t="n">
        <v>9975510</v>
      </c>
      <c r="AI394" s="1" t="inlineStr">
        <is>
          <t>7117900000</t>
        </is>
      </c>
    </row>
    <row r="395" customFormat="1" s="1">
      <c r="C395" s="1" t="inlineStr">
        <is>
          <t xml:space="preserve">9724800             </t>
        </is>
      </c>
      <c r="D395" s="1" t="inlineStr">
        <is>
          <t>Амулеты Степановой Н.И.</t>
        </is>
      </c>
      <c r="E395" s="1" t="inlineStr">
        <is>
          <t>Амулет "На защиту в пути". Степанова Н.И.</t>
        </is>
      </c>
      <c r="F395" s="13" t="inlineStr">
        <is>
          <t>См.обл.</t>
        </is>
      </c>
      <c r="G395" s="1" t="inlineStr">
        <is>
          <t>Степанова Н.И.</t>
        </is>
      </c>
      <c r="J395" s="1" t="inlineStr">
        <is>
          <t>РИПОЛ Классик</t>
        </is>
      </c>
      <c r="M395" s="1" t="inlineStr">
        <is>
          <t>2021</t>
        </is>
      </c>
      <c r="N395" s="1" t="inlineStr">
        <is>
          <t>П</t>
        </is>
      </c>
      <c r="O395" s="9" t="n"/>
      <c r="P395" s="1">
        <f>ROUNDUP(1010*(1-$F$3),2)</f>
        <v/>
      </c>
      <c r="Q395" s="1" t="inlineStr">
        <is>
          <t> </t>
        </is>
      </c>
      <c r="R395" s="1" t="inlineStr">
        <is>
          <t>978-5-386-13979-7</t>
        </is>
      </c>
      <c r="S395" s="1" t="inlineStr">
        <is>
          <t>9785386139797</t>
        </is>
      </c>
      <c r="T395" s="9" t="n">
        <v>22</v>
      </c>
      <c r="U395" s="1">
        <f>ROUNDUP(827.87*(1-$F$3),2)</f>
        <v/>
      </c>
      <c r="V395" s="1" t="n">
        <v>0</v>
      </c>
      <c r="Y395" s="1" t="inlineStr">
        <is>
          <t>Амулет "На защиту в пути"</t>
        </is>
      </c>
      <c r="AA395" s="12" t="n">
        <v>44334</v>
      </c>
      <c r="AB395" s="1" t="inlineStr">
        <is>
          <t> </t>
        </is>
      </c>
      <c r="AC395" s="1" t="inlineStr">
        <is>
          <t> </t>
        </is>
      </c>
      <c r="AD395" s="1" t="inlineStr">
        <is>
          <t> </t>
        </is>
      </c>
      <c r="AE395" s="1" t="inlineStr">
        <is>
          <t> </t>
        </is>
      </c>
      <c r="AG395" s="1" t="n">
        <v>9724800</v>
      </c>
      <c r="AI395" s="1" t="inlineStr">
        <is>
          <t>7117900000</t>
        </is>
      </c>
    </row>
    <row r="396" customFormat="1" s="1">
      <c r="C396" s="1" t="inlineStr">
        <is>
          <t xml:space="preserve">9311610             </t>
        </is>
      </c>
      <c r="D396" s="1" t="inlineStr">
        <is>
          <t>Амулеты Степановой Н.И.</t>
        </is>
      </c>
      <c r="E396" s="1" t="inlineStr">
        <is>
          <t>Карты "Оракул сибирских старцев". Степанова Н.И.</t>
        </is>
      </c>
      <c r="F396" s="13" t="inlineStr">
        <is>
          <t>См.обл.</t>
        </is>
      </c>
      <c r="G396" s="1" t="inlineStr">
        <is>
          <t>Степанова Н.И.</t>
        </is>
      </c>
      <c r="H396" s="1" t="inlineStr">
        <is>
          <t>60х70/32</t>
        </is>
      </c>
      <c r="I396" s="1" t="n">
        <v>38</v>
      </c>
      <c r="J396" s="1" t="inlineStr">
        <is>
          <t>РИПОЛ Классик</t>
        </is>
      </c>
      <c r="M396" s="1" t="inlineStr">
        <is>
          <t>2020</t>
        </is>
      </c>
      <c r="N396" s="1" t="inlineStr">
        <is>
          <t>П</t>
        </is>
      </c>
      <c r="O396" s="9" t="n">
        <v>120</v>
      </c>
      <c r="P396" s="1">
        <f>ROUNDUP(1130*(1-$F$3),2)</f>
        <v/>
      </c>
      <c r="Q396" s="1" t="inlineStr">
        <is>
          <t> </t>
        </is>
      </c>
      <c r="R396" s="1" t="inlineStr">
        <is>
          <t>978-5-386-13598-0</t>
        </is>
      </c>
      <c r="S396" s="1" t="inlineStr">
        <is>
          <t>9785386135980</t>
        </is>
      </c>
      <c r="T396" s="9" t="n">
        <v>22</v>
      </c>
      <c r="U396" s="1">
        <f>ROUNDUP(926.23*(1-$F$3),2)</f>
        <v/>
      </c>
      <c r="V396" s="1" t="n">
        <v>91</v>
      </c>
      <c r="Y396" s="1" t="inlineStr">
        <is>
          <t>Карты "Оракул сибирских старцев"</t>
        </is>
      </c>
      <c r="Z396" s="1" t="inlineStr">
        <is>
          <t>16+</t>
        </is>
      </c>
      <c r="AA396" s="12" t="n">
        <v>43887</v>
      </c>
      <c r="AB396" s="1" t="inlineStr">
        <is>
          <t>Религии. Эзотерика. Оккультизм</t>
        </is>
      </c>
      <c r="AC396" s="1" t="inlineStr">
        <is>
          <t>Эзотерика. Парапсихология. Тайны</t>
        </is>
      </c>
      <c r="AD396" s="1" t="inlineStr">
        <is>
          <t>Магия. Колдовство. Суеверия</t>
        </is>
      </c>
      <c r="AE396" s="1" t="inlineStr">
        <is>
          <t>картон</t>
        </is>
      </c>
      <c r="AG396" s="1" t="n">
        <v>9311610</v>
      </c>
      <c r="AI396" s="1" t="inlineStr">
        <is>
          <t>4901100000</t>
        </is>
      </c>
    </row>
    <row r="397" customFormat="1" s="1">
      <c r="C397" s="1" t="inlineStr">
        <is>
          <t xml:space="preserve">9675710             </t>
        </is>
      </c>
      <c r="D397" s="1" t="inlineStr">
        <is>
          <t>Амулеты Степановой Н.И.</t>
        </is>
      </c>
      <c r="E397" s="1" t="inlineStr">
        <is>
          <t>Магические карты. "Предсказания духов" (32 карты + руководство). Степанова Н.И.</t>
        </is>
      </c>
      <c r="F397" s="13" t="inlineStr">
        <is>
          <t>См.обл.</t>
        </is>
      </c>
      <c r="G397" s="1" t="inlineStr">
        <is>
          <t>Степанова Н.И.</t>
        </is>
      </c>
      <c r="H397" s="1" t="inlineStr">
        <is>
          <t>60х70/32</t>
        </is>
      </c>
      <c r="I397" s="1" t="n">
        <v>32</v>
      </c>
      <c r="J397" s="1" t="inlineStr">
        <is>
          <t>РИПОЛ Классик</t>
        </is>
      </c>
      <c r="M397" s="1" t="inlineStr">
        <is>
          <t>2021</t>
        </is>
      </c>
      <c r="N397" s="1" t="inlineStr">
        <is>
          <t>П</t>
        </is>
      </c>
      <c r="O397" s="9" t="n">
        <v>80</v>
      </c>
      <c r="P397" s="1">
        <f>ROUNDUP(1160*(1-$F$3),2)</f>
        <v/>
      </c>
      <c r="Q397" s="1" t="inlineStr">
        <is>
          <t> </t>
        </is>
      </c>
      <c r="R397" s="1" t="inlineStr">
        <is>
          <t>978-5-386-14031-1</t>
        </is>
      </c>
      <c r="S397" s="1" t="inlineStr">
        <is>
          <t>9785386140311</t>
        </is>
      </c>
      <c r="T397" s="9" t="n">
        <v>22</v>
      </c>
      <c r="U397" s="1">
        <f>ROUNDUP(950.82*(1-$F$3),2)</f>
        <v/>
      </c>
      <c r="V397" s="1" t="n">
        <v>79</v>
      </c>
      <c r="Y397" s="1" t="inlineStr">
        <is>
          <t>Магические карты. "Предсказания духов" (32 карты + руководство)</t>
        </is>
      </c>
      <c r="Z397" s="1" t="inlineStr">
        <is>
          <t>16+</t>
        </is>
      </c>
      <c r="AA397" s="12" t="n">
        <v>44274</v>
      </c>
      <c r="AB397" s="1" t="inlineStr">
        <is>
          <t>Религии. Эзотерика. Оккультизм</t>
        </is>
      </c>
      <c r="AC397" s="1" t="inlineStr">
        <is>
          <t>Эзотерика. Парапсихология. Тайны</t>
        </is>
      </c>
      <c r="AD397" s="1" t="inlineStr">
        <is>
          <t>Магия. Колдовство. Суеверия</t>
        </is>
      </c>
      <c r="AE397" s="1" t="inlineStr">
        <is>
          <t> </t>
        </is>
      </c>
      <c r="AG397" s="1" t="n">
        <v>9675710</v>
      </c>
      <c r="AI397" s="1" t="inlineStr">
        <is>
          <t>4901100000</t>
        </is>
      </c>
    </row>
    <row r="398" customFormat="1" s="1">
      <c r="C398" s="1" t="inlineStr">
        <is>
          <t xml:space="preserve">12041840            </t>
        </is>
      </c>
      <c r="D398" s="1" t="inlineStr">
        <is>
          <t>Андрей Васильев. Отель «Перекресток»</t>
        </is>
      </c>
      <c r="E398" s="1" t="inlineStr">
        <is>
          <t>Отель "Перекресток". Васильев А.</t>
        </is>
      </c>
      <c r="F398" s="13" t="inlineStr">
        <is>
          <t>См.обл.</t>
        </is>
      </c>
      <c r="G398" s="1" t="inlineStr">
        <is>
          <t>Васильев А.</t>
        </is>
      </c>
      <c r="H398" s="1" t="inlineStr">
        <is>
          <t>60х90/16</t>
        </is>
      </c>
      <c r="I398" s="1" t="n">
        <v>416</v>
      </c>
      <c r="J398" s="1" t="inlineStr">
        <is>
          <t>РИПОЛ Классик</t>
        </is>
      </c>
      <c r="M398" s="1" t="inlineStr">
        <is>
          <t>2026</t>
        </is>
      </c>
      <c r="N398" s="1" t="inlineStr">
        <is>
          <t>П</t>
        </is>
      </c>
      <c r="O398" s="9" t="n">
        <v>6</v>
      </c>
      <c r="P398" s="1">
        <f>ROUNDUP(980*(1-$F$3),2)</f>
        <v/>
      </c>
      <c r="Q398" s="1" t="inlineStr">
        <is>
          <t> </t>
        </is>
      </c>
      <c r="R398" s="1" t="inlineStr">
        <is>
          <t>978-5-386-15567-4</t>
        </is>
      </c>
      <c r="S398" s="1" t="inlineStr">
        <is>
          <t>9785386155674</t>
        </is>
      </c>
      <c r="T398" s="9" t="n">
        <v>10</v>
      </c>
      <c r="U398" s="1">
        <f>ROUNDUP(890.91*(1-$F$3),2)</f>
        <v/>
      </c>
      <c r="V398" s="1" t="n">
        <v>429</v>
      </c>
      <c r="Y398" s="1" t="inlineStr">
        <is>
          <t>Отель "Перекресток"</t>
        </is>
      </c>
      <c r="Z398" s="1" t="inlineStr">
        <is>
          <t>16+</t>
        </is>
      </c>
      <c r="AA398" s="12" t="n">
        <v>46104</v>
      </c>
      <c r="AB398" s="1" t="inlineStr">
        <is>
          <t>Художественная литература</t>
        </is>
      </c>
      <c r="AC398" s="1" t="inlineStr">
        <is>
          <t>Русская литература</t>
        </is>
      </c>
      <c r="AD398" s="1" t="inlineStr">
        <is>
          <t>Современная литература</t>
        </is>
      </c>
      <c r="AE398" s="1" t="inlineStr">
        <is>
          <t>офсетная</t>
        </is>
      </c>
      <c r="AG398" s="1" t="n">
        <v>12041840</v>
      </c>
      <c r="AI398" s="1" t="inlineStr">
        <is>
          <t>4901990000</t>
        </is>
      </c>
    </row>
    <row r="399" customFormat="1" s="11">
      <c r="A399" s="11" t="inlineStr">
        <is>
          <t>нов</t>
        </is>
      </c>
      <c r="C399" s="11" t="inlineStr">
        <is>
          <t xml:space="preserve">12251280            </t>
        </is>
      </c>
      <c r="D399" s="11" t="inlineStr">
        <is>
          <t>Анна-детективъ</t>
        </is>
      </c>
      <c r="E399" s="11" t="inlineStr">
        <is>
          <t>Дело утопленниц. Ведищева С</t>
        </is>
      </c>
      <c r="F399" s="14" t="inlineStr">
        <is>
          <t>См.обл.</t>
        </is>
      </c>
      <c r="G399" s="11" t="inlineStr">
        <is>
          <t>Ведищева С</t>
        </is>
      </c>
      <c r="H399" s="11" t="inlineStr">
        <is>
          <t>60х90/16</t>
        </is>
      </c>
      <c r="I399" s="11" t="n">
        <v>416</v>
      </c>
      <c r="J399" s="11" t="inlineStr">
        <is>
          <t>РИПОЛ Классик</t>
        </is>
      </c>
      <c r="M399" s="11" t="inlineStr">
        <is>
          <t>2026</t>
        </is>
      </c>
      <c r="N399" s="11" t="inlineStr">
        <is>
          <t>П</t>
        </is>
      </c>
      <c r="O399" s="26" t="n">
        <v>10</v>
      </c>
      <c r="P399" s="11">
        <f>ROUNDUP(1100*(1-$F$3),2)</f>
        <v/>
      </c>
      <c r="Q399" s="11" t="inlineStr">
        <is>
          <t> </t>
        </is>
      </c>
      <c r="R399" s="11" t="inlineStr">
        <is>
          <t>978-5-386-15621-3</t>
        </is>
      </c>
      <c r="S399" s="11" t="inlineStr">
        <is>
          <t>9785386156213</t>
        </is>
      </c>
      <c r="T399" s="26" t="n">
        <v>22</v>
      </c>
      <c r="U399" s="11">
        <f>ROUNDUP(901.64*(1-$F$3),2)</f>
        <v/>
      </c>
      <c r="V399" s="11" t="n">
        <v>505</v>
      </c>
      <c r="Y399" s="11" t="inlineStr">
        <is>
          <t>Дело утопленниц</t>
        </is>
      </c>
      <c r="Z399" s="11" t="inlineStr">
        <is>
          <t>18+</t>
        </is>
      </c>
      <c r="AA399" s="15" t="n">
        <v>46261</v>
      </c>
      <c r="AB399" s="11" t="inlineStr">
        <is>
          <t>Художественная литература</t>
        </is>
      </c>
      <c r="AC399" s="11" t="inlineStr">
        <is>
          <t>Детективы. Боевики. Триллеры</t>
        </is>
      </c>
      <c r="AD399" s="11" t="inlineStr">
        <is>
          <t>Русский детектив</t>
        </is>
      </c>
      <c r="AE399" s="11" t="inlineStr">
        <is>
          <t>офсетная</t>
        </is>
      </c>
      <c r="AG399" s="11" t="n">
        <v>12251280</v>
      </c>
      <c r="AI399" s="11" t="inlineStr">
        <is>
          <t>4901990000</t>
        </is>
      </c>
    </row>
    <row r="400" customFormat="1" s="1">
      <c r="C400" s="1" t="inlineStr">
        <is>
          <t>319632</t>
        </is>
      </c>
      <c r="D400" s="1" t="inlineStr">
        <is>
          <t>Антикризисная дача</t>
        </is>
      </c>
      <c r="E400" s="1" t="inlineStr">
        <is>
          <t>Антикризисная дача. Овощи, ягоды, фрукты. Умная рассада и бережное хранение. Сост. Кашин С.П.</t>
        </is>
      </c>
      <c r="F400" s="13" t="inlineStr">
        <is>
          <t>См.обл.</t>
        </is>
      </c>
      <c r="G400" s="1" t="inlineStr">
        <is>
          <t>Сост. Кашин С.П.</t>
        </is>
      </c>
      <c r="H400" s="1" t="inlineStr">
        <is>
          <t>84х108/32</t>
        </is>
      </c>
      <c r="I400" s="1" t="n">
        <v>320</v>
      </c>
      <c r="J400" s="1" t="inlineStr">
        <is>
          <t>РИПОЛ Классик</t>
        </is>
      </c>
      <c r="M400" s="1" t="inlineStr">
        <is>
          <t>2015</t>
        </is>
      </c>
      <c r="N400" s="1" t="inlineStr">
        <is>
          <t>О</t>
        </is>
      </c>
      <c r="O400" s="9" t="n">
        <v>16</v>
      </c>
      <c r="P400" s="1">
        <f>ROUNDUP(764.4*(1-$F$3),2)</f>
        <v/>
      </c>
      <c r="Q400" s="1" t="inlineStr">
        <is>
          <t> </t>
        </is>
      </c>
      <c r="R400" s="1" t="inlineStr">
        <is>
          <t>978-5-386-08458-5</t>
        </is>
      </c>
      <c r="S400" s="1" t="inlineStr">
        <is>
          <t>9785386084585</t>
        </is>
      </c>
      <c r="T400" s="9" t="n">
        <v>10</v>
      </c>
      <c r="U400" s="1">
        <f>ROUNDUP(694.91*(1-$F$3),2)</f>
        <v/>
      </c>
      <c r="V400" s="1" t="n">
        <v>286</v>
      </c>
      <c r="W400" s="1" t="inlineStr">
        <is>
          <t xml:space="preserve">53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400" s="1" t="inlineStr">
        <is>
          <t xml:space="preserve">Сад и огород                                                                                                                    </t>
        </is>
      </c>
      <c r="Y400" s="1" t="inlineStr">
        <is>
          <t>Антикризисная дача. Овощи, ягоды, фрукты. Умная рассада и бережное хранение</t>
        </is>
      </c>
      <c r="AA400" s="12" t="n">
        <v>42121</v>
      </c>
      <c r="AB400" s="1" t="inlineStr">
        <is>
          <t>Дом. Быт. Досуг</t>
        </is>
      </c>
      <c r="AC400" s="1" t="inlineStr">
        <is>
          <t>Сад. Огород. Цветоводство</t>
        </is>
      </c>
      <c r="AD400" s="1" t="inlineStr">
        <is>
          <t>Справочная литература</t>
        </is>
      </c>
      <c r="AE400" s="1" t="inlineStr">
        <is>
          <t> </t>
        </is>
      </c>
      <c r="AG400" s="1" t="n">
        <v>6838920</v>
      </c>
      <c r="AI400" s="1" t="inlineStr">
        <is>
          <t>4901990000</t>
        </is>
      </c>
    </row>
    <row r="401" customFormat="1" s="1">
      <c r="C401" s="1" t="inlineStr">
        <is>
          <t xml:space="preserve">11159230            </t>
        </is>
      </c>
      <c r="D401" s="1" t="inlineStr">
        <is>
          <t>Антология русской души</t>
        </is>
      </c>
      <c r="E401" s="1" t="inlineStr">
        <is>
          <t>Наши русские мужи: антология. Пушкин А.С., Толстой Л.Н., Тургенев И.С.</t>
        </is>
      </c>
      <c r="F401" s="13" t="inlineStr">
        <is>
          <t>См.обл.</t>
        </is>
      </c>
      <c r="G401" s="1" t="inlineStr">
        <is>
          <t>Пушкин А.С., Толстой Л.Н., Тургенев И.С.</t>
        </is>
      </c>
      <c r="H401" s="1" t="inlineStr">
        <is>
          <t>60х90/16</t>
        </is>
      </c>
      <c r="I401" s="1" t="n">
        <v>432</v>
      </c>
      <c r="J401" s="1" t="inlineStr">
        <is>
          <t>РИПОЛ Классик</t>
        </is>
      </c>
      <c r="M401" s="1" t="inlineStr">
        <is>
          <t>2026</t>
        </is>
      </c>
      <c r="N401" s="1" t="inlineStr">
        <is>
          <t>П</t>
        </is>
      </c>
      <c r="O401" s="9" t="n">
        <v>8</v>
      </c>
      <c r="P401" s="1">
        <f>ROUNDUP(1230*(1-$F$3),2)</f>
        <v/>
      </c>
      <c r="Q401" s="1" t="inlineStr">
        <is>
          <t> </t>
        </is>
      </c>
      <c r="R401" s="1" t="inlineStr">
        <is>
          <t>978-5-386-15078-5</t>
        </is>
      </c>
      <c r="S401" s="1" t="inlineStr">
        <is>
          <t>9785386150785</t>
        </is>
      </c>
      <c r="T401" s="9" t="n">
        <v>10</v>
      </c>
      <c r="U401" s="1">
        <f>ROUNDUP(1118.18*(1-$F$3),2)</f>
        <v/>
      </c>
      <c r="V401" s="1" t="n">
        <v>484</v>
      </c>
      <c r="Y401" s="1" t="inlineStr">
        <is>
          <t>Наши русские мужи: антология</t>
        </is>
      </c>
      <c r="Z401" s="1" t="inlineStr">
        <is>
          <t>12+</t>
        </is>
      </c>
      <c r="AA401" s="12" t="n">
        <v>45264</v>
      </c>
      <c r="AB401" s="1" t="inlineStr">
        <is>
          <t>Художественная литература</t>
        </is>
      </c>
      <c r="AC401" s="1" t="inlineStr">
        <is>
          <t>Русская литература</t>
        </is>
      </c>
      <c r="AD401" s="1" t="inlineStr">
        <is>
          <t>Русская литература XVIII-нач. XX вв. (до 1917 г.)</t>
        </is>
      </c>
      <c r="AE401" s="1" t="inlineStr">
        <is>
          <t>офсетная</t>
        </is>
      </c>
      <c r="AG401" s="1" t="n">
        <v>11159230</v>
      </c>
      <c r="AI401" s="1" t="inlineStr">
        <is>
          <t>4901990000</t>
        </is>
      </c>
    </row>
    <row r="402" customFormat="1" s="1">
      <c r="C402" s="1" t="inlineStr">
        <is>
          <t xml:space="preserve">11095770            </t>
        </is>
      </c>
      <c r="D402" s="1" t="inlineStr">
        <is>
          <t>Антология русской души</t>
        </is>
      </c>
      <c r="E402" s="1" t="inlineStr">
        <is>
          <t>Наши русские чиновники: антология. Карлгоф В., Пушкин А.С., Гоголь Н.В. и др.</t>
        </is>
      </c>
      <c r="F402" s="13" t="inlineStr">
        <is>
          <t>См.обл.</t>
        </is>
      </c>
      <c r="G402" s="1" t="inlineStr">
        <is>
          <t>Карлгоф В., Пушкин А.С., Гоголь Н.В. и др.</t>
        </is>
      </c>
      <c r="H402" s="1" t="inlineStr">
        <is>
          <t>60х90/16</t>
        </is>
      </c>
      <c r="I402" s="1" t="n">
        <v>480</v>
      </c>
      <c r="J402" s="1" t="inlineStr">
        <is>
          <t>РИПОЛ Классик</t>
        </is>
      </c>
      <c r="M402" s="1" t="inlineStr">
        <is>
          <t>2024</t>
        </is>
      </c>
      <c r="N402" s="1" t="inlineStr">
        <is>
          <t>П</t>
        </is>
      </c>
      <c r="O402" s="9" t="n">
        <v>6</v>
      </c>
      <c r="P402" s="1">
        <f>ROUNDUP(1150*(1-$F$3),2)</f>
        <v/>
      </c>
      <c r="Q402" s="1" t="inlineStr">
        <is>
          <t> </t>
        </is>
      </c>
      <c r="R402" s="1" t="inlineStr">
        <is>
          <t>978-5-386-15117-1</t>
        </is>
      </c>
      <c r="S402" s="1" t="inlineStr">
        <is>
          <t>9785386151171</t>
        </is>
      </c>
      <c r="T402" s="9" t="n">
        <v>10</v>
      </c>
      <c r="U402" s="1">
        <f>ROUNDUP(1045.45*(1-$F$3),2)</f>
        <v/>
      </c>
      <c r="V402" s="1" t="n">
        <v>571</v>
      </c>
      <c r="Y402" s="1" t="inlineStr">
        <is>
          <t>Наши русские чиновники: антология</t>
        </is>
      </c>
      <c r="Z402" s="1" t="inlineStr">
        <is>
          <t>12+</t>
        </is>
      </c>
      <c r="AA402" s="12" t="n">
        <v>45225</v>
      </c>
      <c r="AB402" s="1" t="inlineStr">
        <is>
          <t>Художественная литература</t>
        </is>
      </c>
      <c r="AC402" s="1" t="inlineStr">
        <is>
          <t>Русская литература</t>
        </is>
      </c>
      <c r="AD402" s="1" t="inlineStr">
        <is>
          <t>Русская литература XVIII-нач. XX вв. (до 1917 г.)</t>
        </is>
      </c>
      <c r="AE402" s="1" t="inlineStr">
        <is>
          <t>офсетная</t>
        </is>
      </c>
      <c r="AG402" s="1" t="n">
        <v>11095770</v>
      </c>
      <c r="AI402" s="1" t="inlineStr">
        <is>
          <t>4901990000</t>
        </is>
      </c>
    </row>
    <row r="403" customFormat="1" s="1">
      <c r="C403" s="1" t="inlineStr">
        <is>
          <t xml:space="preserve">8682100             </t>
        </is>
      </c>
      <c r="D403" s="1" t="inlineStr">
        <is>
          <t>Антология фантастики</t>
        </is>
      </c>
      <c r="E403" s="1" t="inlineStr">
        <is>
          <t>Новая Фантастика 2018. Антология №2: сборник. Бакулин В.Н., Ролдугина С.В., Гелприн М.</t>
        </is>
      </c>
      <c r="F403" s="13" t="inlineStr">
        <is>
          <t>См.обл.</t>
        </is>
      </c>
      <c r="G403" s="1" t="inlineStr">
        <is>
          <t>Бакулин В.Н., Ролдугина С.В., Гелприн М.</t>
        </is>
      </c>
      <c r="H403" s="1" t="inlineStr">
        <is>
          <t>84х108/32</t>
        </is>
      </c>
      <c r="I403" s="1" t="n">
        <v>314</v>
      </c>
      <c r="J403" s="1" t="inlineStr">
        <is>
          <t>РИПОЛ Классик</t>
        </is>
      </c>
      <c r="M403" s="1" t="inlineStr">
        <is>
          <t>2018</t>
        </is>
      </c>
      <c r="N403" s="1" t="inlineStr">
        <is>
          <t>П</t>
        </is>
      </c>
      <c r="O403" s="9" t="n">
        <v>12</v>
      </c>
      <c r="P403" s="1">
        <f>ROUNDUP(731.1*(1-$F$3),2)</f>
        <v/>
      </c>
      <c r="Q403" s="1" t="inlineStr">
        <is>
          <t> </t>
        </is>
      </c>
      <c r="R403" s="1" t="inlineStr">
        <is>
          <t>978-5-386-10917-2</t>
        </is>
      </c>
      <c r="S403" s="1" t="inlineStr">
        <is>
          <t>9785386109172</t>
        </is>
      </c>
      <c r="T403" s="9" t="n">
        <v>10</v>
      </c>
      <c r="U403" s="1">
        <f>ROUNDUP(664.64*(1-$F$3),2)</f>
        <v/>
      </c>
      <c r="V403" s="1" t="n">
        <v>429</v>
      </c>
      <c r="Y403" s="1" t="inlineStr">
        <is>
          <t>Новая Фантастика 2018. Антология №2: сборник</t>
        </is>
      </c>
      <c r="Z403" s="1" t="inlineStr">
        <is>
          <t>16+</t>
        </is>
      </c>
      <c r="AA403" s="12" t="n">
        <v>43241</v>
      </c>
      <c r="AB403" s="1" t="inlineStr">
        <is>
          <t>Художественная литература</t>
        </is>
      </c>
      <c r="AC403" s="1" t="inlineStr">
        <is>
          <t>Фантастика. Мистика. Ужасы</t>
        </is>
      </c>
      <c r="AD403" s="1" t="inlineStr">
        <is>
          <t>Зарубежная фантастика</t>
        </is>
      </c>
      <c r="AE403" s="1" t="inlineStr">
        <is>
          <t>офсетная</t>
        </is>
      </c>
      <c r="AG403" s="1" t="n">
        <v>8682100</v>
      </c>
      <c r="AI403" s="1" t="inlineStr">
        <is>
          <t>4901990000</t>
        </is>
      </c>
    </row>
    <row r="404" customFormat="1" s="1">
      <c r="C404" s="1" t="inlineStr">
        <is>
          <t xml:space="preserve">9549470             </t>
        </is>
      </c>
      <c r="D404" s="1" t="inlineStr">
        <is>
          <t>Аспекты истории</t>
        </is>
      </c>
      <c r="E404" s="1" t="inlineStr">
        <is>
          <t>Рули как Черчилль. Уроки лидерства, управления и власти. Медведев Д.Л.</t>
        </is>
      </c>
      <c r="F404" s="13" t="inlineStr">
        <is>
          <t>См.обл.</t>
        </is>
      </c>
      <c r="G404" s="1" t="inlineStr">
        <is>
          <t>Медведев Д.Л.</t>
        </is>
      </c>
      <c r="H404" s="1" t="inlineStr">
        <is>
          <t>60х90/16</t>
        </is>
      </c>
      <c r="I404" s="1" t="n">
        <v>454</v>
      </c>
      <c r="J404" s="1" t="inlineStr">
        <is>
          <t>РИПОЛ Классик</t>
        </is>
      </c>
      <c r="M404" s="1" t="inlineStr">
        <is>
          <t>2025</t>
        </is>
      </c>
      <c r="N404" s="1" t="inlineStr">
        <is>
          <t>П</t>
        </is>
      </c>
      <c r="O404" s="9" t="n">
        <v>4</v>
      </c>
      <c r="P404" s="1">
        <f>ROUNDUP(1420*(1-$F$3),2)</f>
        <v/>
      </c>
      <c r="Q404" s="1" t="inlineStr">
        <is>
          <t> </t>
        </is>
      </c>
      <c r="R404" s="1" t="inlineStr">
        <is>
          <t>978-5-386-13864-6</t>
        </is>
      </c>
      <c r="S404" s="1" t="inlineStr">
        <is>
          <t>9785386138646</t>
        </is>
      </c>
      <c r="T404" s="9" t="n">
        <v>10</v>
      </c>
      <c r="U404" s="1">
        <f>ROUNDUP(1290.91*(1-$F$3),2)</f>
        <v/>
      </c>
      <c r="V404" s="1" t="n">
        <v>478</v>
      </c>
      <c r="Y404" s="1" t="inlineStr">
        <is>
          <t>Рули как Черчилль. Уроки лидерства, управления и власти</t>
        </is>
      </c>
      <c r="Z404" s="1" t="inlineStr">
        <is>
          <t>12+</t>
        </is>
      </c>
      <c r="AA404" s="12" t="n">
        <v>44130</v>
      </c>
      <c r="AB404" s="1" t="inlineStr">
        <is>
          <t>Экономика. Экономические науки</t>
        </is>
      </c>
      <c r="AC404" s="1" t="inlineStr">
        <is>
          <t>Менеджмент</t>
        </is>
      </c>
      <c r="AD404" s="1" t="inlineStr">
        <is>
          <t>Психология управления</t>
        </is>
      </c>
      <c r="AE404" s="1" t="inlineStr">
        <is>
          <t>офсетная</t>
        </is>
      </c>
      <c r="AG404" s="1" t="n">
        <v>9549470</v>
      </c>
      <c r="AI404" s="1" t="inlineStr">
        <is>
          <t>4901990000</t>
        </is>
      </c>
    </row>
    <row r="405" customFormat="1" s="1">
      <c r="C405" s="1" t="inlineStr">
        <is>
          <t>233710</t>
        </is>
      </c>
      <c r="D405" s="1" t="inlineStr">
        <is>
          <t>Аюамарка</t>
        </is>
      </c>
      <c r="E405" s="1" t="inlineStr">
        <is>
          <t>Горизонты ада. Книга 2. Шэн Д</t>
        </is>
      </c>
      <c r="F405" s="13" t="inlineStr">
        <is>
          <t>См.обл.</t>
        </is>
      </c>
      <c r="G405" s="1" t="inlineStr">
        <is>
          <t>Шэн Д</t>
        </is>
      </c>
      <c r="H405" s="1" t="inlineStr">
        <is>
          <t>60х90/16</t>
        </is>
      </c>
      <c r="I405" s="1" t="n">
        <v>400</v>
      </c>
      <c r="J405" s="1" t="inlineStr">
        <is>
          <t>РИПОЛ Классик</t>
        </is>
      </c>
      <c r="M405" s="1" t="inlineStr">
        <is>
          <t>2013</t>
        </is>
      </c>
      <c r="N405" s="1" t="inlineStr">
        <is>
          <t>О</t>
        </is>
      </c>
      <c r="O405" s="9" t="n">
        <v>14</v>
      </c>
      <c r="P405" s="1">
        <f>ROUNDUP(726.9*(1-$F$3),2)</f>
        <v/>
      </c>
      <c r="Q405" s="1" t="inlineStr">
        <is>
          <t> </t>
        </is>
      </c>
      <c r="R405" s="1" t="inlineStr">
        <is>
          <t>978-5-386-05589-9</t>
        </is>
      </c>
      <c r="S405" s="1" t="inlineStr">
        <is>
          <t>9785386055899</t>
        </is>
      </c>
      <c r="T405" s="9" t="n">
        <v>10</v>
      </c>
      <c r="U405" s="1">
        <f>ROUNDUP(660.82*(1-$F$3),2)</f>
        <v/>
      </c>
      <c r="V405" s="1" t="n">
        <v>325</v>
      </c>
      <c r="W405" s="1" t="inlineStr">
        <is>
          <t xml:space="preserve">653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405" s="1" t="inlineStr">
        <is>
          <t xml:space="preserve">Мистическая фантастика                                                                                                          </t>
        </is>
      </c>
      <c r="Y405" s="1" t="inlineStr">
        <is>
          <t>Горизонты ада. Книга 2</t>
        </is>
      </c>
      <c r="Z405" s="1" t="inlineStr">
        <is>
          <t>18+</t>
        </is>
      </c>
      <c r="AA405" s="12" t="n">
        <v>42247</v>
      </c>
      <c r="AB405" s="1" t="inlineStr">
        <is>
          <t>Художественная литература</t>
        </is>
      </c>
      <c r="AC405" s="1" t="inlineStr">
        <is>
          <t>Фантастика. Мистика. Ужасы</t>
        </is>
      </c>
      <c r="AD405" s="1" t="inlineStr">
        <is>
          <t>Зарубежная фантастика</t>
        </is>
      </c>
      <c r="AE405" s="1" t="inlineStr">
        <is>
          <t> </t>
        </is>
      </c>
      <c r="AG405" s="1" t="n">
        <v>6805670</v>
      </c>
    </row>
    <row r="406" customFormat="1" s="1">
      <c r="C406" s="1" t="inlineStr">
        <is>
          <t xml:space="preserve">10480100            </t>
        </is>
      </c>
      <c r="D406" s="1" t="inlineStr">
        <is>
          <t>Бабушкины рецепты</t>
        </is>
      </c>
      <c r="E406" s="1" t="inlineStr">
        <is>
          <t>Напитки с градусом и без. Круглый год. Треер Г.М</t>
        </is>
      </c>
      <c r="F406" s="13" t="inlineStr">
        <is>
          <t>См.обл.</t>
        </is>
      </c>
      <c r="G406" s="1" t="inlineStr">
        <is>
          <t>Треер Г.М.</t>
        </is>
      </c>
      <c r="H406" s="1" t="inlineStr">
        <is>
          <t>84х108/32</t>
        </is>
      </c>
      <c r="I406" s="1" t="n">
        <v>288</v>
      </c>
      <c r="J406" s="1" t="inlineStr">
        <is>
          <t>РИПОЛ Классик</t>
        </is>
      </c>
      <c r="M406" s="1" t="inlineStr">
        <is>
          <t>2022</t>
        </is>
      </c>
      <c r="N406" s="1" t="inlineStr">
        <is>
          <t>О</t>
        </is>
      </c>
      <c r="O406" s="9" t="n">
        <v>16</v>
      </c>
      <c r="P406" s="1">
        <f>ROUNDUP(780*(1-$F$3),2)</f>
        <v/>
      </c>
      <c r="Q406" s="1" t="inlineStr">
        <is>
          <t> </t>
        </is>
      </c>
      <c r="R406" s="1" t="inlineStr">
        <is>
          <t>978-5-386-14801-0</t>
        </is>
      </c>
      <c r="S406" s="1" t="inlineStr">
        <is>
          <t>9785386148010</t>
        </is>
      </c>
      <c r="T406" s="9" t="n">
        <v>22</v>
      </c>
      <c r="U406" s="1">
        <f>ROUNDUP(639.34*(1-$F$3),2)</f>
        <v/>
      </c>
      <c r="V406" s="1" t="n">
        <v>303</v>
      </c>
      <c r="Y406" s="1" t="inlineStr">
        <is>
          <t>Напитки с градусом и без. Круглый год</t>
        </is>
      </c>
      <c r="Z406" s="1" t="inlineStr">
        <is>
          <t>18+</t>
        </is>
      </c>
      <c r="AA406" s="12" t="n">
        <v>44713</v>
      </c>
      <c r="AB406" s="1" t="inlineStr">
        <is>
          <t>Дом. Быт. Досуг</t>
        </is>
      </c>
      <c r="AC406" s="1" t="inlineStr">
        <is>
          <t>Кулинария</t>
        </is>
      </c>
      <c r="AD406" s="1" t="inlineStr">
        <is>
          <t>Напитки. Домашнее виноделие</t>
        </is>
      </c>
      <c r="AE406" s="1" t="inlineStr">
        <is>
          <t>офсетная</t>
        </is>
      </c>
      <c r="AG406" s="1" t="n">
        <v>10480100</v>
      </c>
      <c r="AI406" s="1" t="inlineStr">
        <is>
          <t>4901990000</t>
        </is>
      </c>
    </row>
    <row r="407" customFormat="1" s="1">
      <c r="C407" s="1" t="inlineStr">
        <is>
          <t xml:space="preserve">10482290            </t>
        </is>
      </c>
      <c r="D407" s="1" t="inlineStr">
        <is>
          <t>Бабушкины рецепты</t>
        </is>
      </c>
      <c r="E407" s="1" t="inlineStr">
        <is>
          <t>Секреты заготовок. Треер Г.М</t>
        </is>
      </c>
      <c r="F407" s="13" t="inlineStr">
        <is>
          <t>См.обл.</t>
        </is>
      </c>
      <c r="G407" s="1" t="inlineStr">
        <is>
          <t>Треер Г.М.</t>
        </is>
      </c>
      <c r="H407" s="1" t="inlineStr">
        <is>
          <t>84х108/32</t>
        </is>
      </c>
      <c r="I407" s="1" t="n">
        <v>272</v>
      </c>
      <c r="J407" s="1" t="inlineStr">
        <is>
          <t>РИПОЛ Классик</t>
        </is>
      </c>
      <c r="M407" s="1" t="inlineStr">
        <is>
          <t>2022</t>
        </is>
      </c>
      <c r="N407" s="1" t="inlineStr">
        <is>
          <t>О</t>
        </is>
      </c>
      <c r="O407" s="9" t="n">
        <v>16</v>
      </c>
      <c r="P407" s="1">
        <f>ROUNDUP(790*(1-$F$3),2)</f>
        <v/>
      </c>
      <c r="Q407" s="1" t="inlineStr">
        <is>
          <t> </t>
        </is>
      </c>
      <c r="R407" s="1" t="inlineStr">
        <is>
          <t>978-5-386-14799-0</t>
        </is>
      </c>
      <c r="S407" s="1" t="inlineStr">
        <is>
          <t>9785386147990</t>
        </is>
      </c>
      <c r="T407" s="9" t="n">
        <v>10</v>
      </c>
      <c r="U407" s="1">
        <f>ROUNDUP(718.18*(1-$F$3),2)</f>
        <v/>
      </c>
      <c r="V407" s="1" t="n">
        <v>287</v>
      </c>
      <c r="Y407" s="1" t="inlineStr">
        <is>
          <t>Секреты заготовок</t>
        </is>
      </c>
      <c r="Z407" s="1" t="inlineStr">
        <is>
          <t>16+</t>
        </is>
      </c>
      <c r="AA407" s="12" t="n">
        <v>44712</v>
      </c>
      <c r="AB407" s="1" t="inlineStr">
        <is>
          <t>Дом. Быт. Досуг</t>
        </is>
      </c>
      <c r="AC407" s="1" t="inlineStr">
        <is>
          <t>Кулинария</t>
        </is>
      </c>
      <c r="AD407" s="1" t="inlineStr">
        <is>
          <t>Консервирование и хранение продуктов</t>
        </is>
      </c>
      <c r="AE407" s="1" t="inlineStr">
        <is>
          <t>офсетная</t>
        </is>
      </c>
      <c r="AG407" s="1" t="n">
        <v>10482290</v>
      </c>
      <c r="AI407" s="1" t="inlineStr">
        <is>
          <t>4901990000</t>
        </is>
      </c>
    </row>
    <row r="408" customFormat="1" s="1">
      <c r="C408" s="1" t="inlineStr">
        <is>
          <t xml:space="preserve">8601420             </t>
        </is>
      </c>
      <c r="D408" s="1" t="inlineStr">
        <is>
          <t>Бестселлер "The New York Times"</t>
        </is>
      </c>
      <c r="E408" s="1" t="inlineStr">
        <is>
          <t>Есть, молиться, любить. Гилберт Э.</t>
        </is>
      </c>
      <c r="F408" s="13" t="inlineStr">
        <is>
          <t>См.обл.</t>
        </is>
      </c>
      <c r="G408" s="1" t="inlineStr">
        <is>
          <t>Гилберт Э.</t>
        </is>
      </c>
      <c r="H408" s="1" t="inlineStr">
        <is>
          <t>76х108/32</t>
        </is>
      </c>
      <c r="I408" s="1" t="n">
        <v>496</v>
      </c>
      <c r="J408" s="1" t="inlineStr">
        <is>
          <t>РИПОЛ Классик</t>
        </is>
      </c>
      <c r="M408" s="1" t="inlineStr">
        <is>
          <t>2026</t>
        </is>
      </c>
      <c r="N408" s="1" t="inlineStr">
        <is>
          <t>О</t>
        </is>
      </c>
      <c r="O408" s="9" t="n">
        <v>6</v>
      </c>
      <c r="P408" s="1">
        <f>ROUNDUP(660*(1-$F$3),2)</f>
        <v/>
      </c>
      <c r="Q408" s="1" t="inlineStr">
        <is>
          <t> </t>
        </is>
      </c>
      <c r="R408" s="1" t="inlineStr">
        <is>
          <t>978-5-386-10778-9</t>
        </is>
      </c>
      <c r="S408" s="1" t="inlineStr">
        <is>
          <t>9785386107789</t>
        </is>
      </c>
      <c r="T408" s="9" t="n">
        <v>22</v>
      </c>
      <c r="U408" s="1">
        <f>ROUNDUP(540.98*(1-$F$3),2)</f>
        <v/>
      </c>
      <c r="V408" s="1" t="n">
        <v>252</v>
      </c>
      <c r="Y408" s="1" t="inlineStr">
        <is>
          <t>Есть, молиться, любить</t>
        </is>
      </c>
      <c r="Z408" s="1" t="inlineStr">
        <is>
          <t>18+</t>
        </is>
      </c>
      <c r="AA408" s="12" t="n">
        <v>43218</v>
      </c>
      <c r="AB408" s="1" t="inlineStr">
        <is>
          <t>Художественная литература</t>
        </is>
      </c>
      <c r="AC408" s="1" t="inlineStr">
        <is>
          <t>Зарубежная литература</t>
        </is>
      </c>
      <c r="AD408" s="1" t="inlineStr">
        <is>
          <t>Литература Америки и Австралии</t>
        </is>
      </c>
      <c r="AE408" s="1" t="inlineStr">
        <is>
          <t>офсетная</t>
        </is>
      </c>
      <c r="AG408" s="1" t="n">
        <v>8601420</v>
      </c>
      <c r="AI408" s="1" t="inlineStr">
        <is>
          <t>4901990000</t>
        </is>
      </c>
      <c r="AJ408" s="1" t="inlineStr">
        <is>
          <t>Зпв</t>
        </is>
      </c>
    </row>
    <row r="409" customFormat="1" s="1">
      <c r="C409" s="1" t="inlineStr">
        <is>
          <t xml:space="preserve">10373370            </t>
        </is>
      </c>
      <c r="D409" s="1" t="inlineStr">
        <is>
          <t>Бестселлер "The New York Times"</t>
        </is>
      </c>
      <c r="E409" s="1" t="inlineStr">
        <is>
          <t>Эта ночь была бархатной. Морено-Гарсиа С.</t>
        </is>
      </c>
      <c r="F409" s="13" t="inlineStr">
        <is>
          <t>См.обл.</t>
        </is>
      </c>
      <c r="G409" s="1" t="inlineStr">
        <is>
          <t>Морено-Гарсиа С.</t>
        </is>
      </c>
      <c r="H409" s="1" t="inlineStr">
        <is>
          <t>60х90/16</t>
        </is>
      </c>
      <c r="I409" s="1" t="n">
        <v>384</v>
      </c>
      <c r="J409" s="1" t="inlineStr">
        <is>
          <t>РИПОЛ Классик</t>
        </is>
      </c>
      <c r="M409" s="1" t="inlineStr">
        <is>
          <t>2022</t>
        </is>
      </c>
      <c r="N409" s="1" t="inlineStr">
        <is>
          <t>П</t>
        </is>
      </c>
      <c r="O409" s="9" t="n">
        <v>8</v>
      </c>
      <c r="P409" s="1">
        <f>ROUNDUP(1240*(1-$F$3),2)</f>
        <v/>
      </c>
      <c r="Q409" s="1" t="inlineStr">
        <is>
          <t> </t>
        </is>
      </c>
      <c r="R409" s="1" t="inlineStr">
        <is>
          <t>978-5-386-14674-0</t>
        </is>
      </c>
      <c r="S409" s="1" t="inlineStr">
        <is>
          <t>9785386146740</t>
        </is>
      </c>
      <c r="T409" s="9" t="n">
        <v>10</v>
      </c>
      <c r="U409" s="1">
        <f>ROUNDUP(1127.27*(1-$F$3),2)</f>
        <v/>
      </c>
      <c r="V409" s="1" t="n">
        <v>476</v>
      </c>
      <c r="Y409" s="1" t="inlineStr">
        <is>
          <t>Эта ночь была бархатной</t>
        </is>
      </c>
      <c r="Z409" s="1" t="inlineStr">
        <is>
          <t>16+</t>
        </is>
      </c>
      <c r="AA409" s="12" t="n">
        <v>44658</v>
      </c>
      <c r="AB409" s="1" t="inlineStr">
        <is>
          <t>Художественная литература</t>
        </is>
      </c>
      <c r="AC409" s="1" t="inlineStr">
        <is>
          <t>Детективы. Боевики. Триллеры</t>
        </is>
      </c>
      <c r="AD409" s="1" t="inlineStr">
        <is>
          <t>Зарубежный детектив</t>
        </is>
      </c>
      <c r="AE409" s="1" t="inlineStr">
        <is>
          <t>офсетная</t>
        </is>
      </c>
      <c r="AG409" s="1" t="n">
        <v>10373370</v>
      </c>
      <c r="AI409" s="1" t="inlineStr">
        <is>
          <t>4901990000</t>
        </is>
      </c>
    </row>
    <row r="410" customFormat="1" s="1">
      <c r="C410" s="1" t="inlineStr">
        <is>
          <t xml:space="preserve">9598890             </t>
        </is>
      </c>
      <c r="D410" s="1" t="inlineStr">
        <is>
          <t>Бестселлер года</t>
        </is>
      </c>
      <c r="E410" s="1" t="inlineStr">
        <is>
          <t>Тени тевтонов. Иванов А.В.</t>
        </is>
      </c>
      <c r="F410" s="13" t="inlineStr">
        <is>
          <t>См.обл.</t>
        </is>
      </c>
      <c r="G410" s="1" t="inlineStr">
        <is>
          <t>Иванов А.В.</t>
        </is>
      </c>
      <c r="H410" s="1" t="inlineStr">
        <is>
          <t>60х90/16</t>
        </is>
      </c>
      <c r="I410" s="1" t="n">
        <v>384</v>
      </c>
      <c r="J410" s="1" t="inlineStr">
        <is>
          <t>РИПОЛ Классик</t>
        </is>
      </c>
      <c r="M410" s="1" t="inlineStr">
        <is>
          <t>2021</t>
        </is>
      </c>
      <c r="N410" s="1" t="inlineStr">
        <is>
          <t>П</t>
        </is>
      </c>
      <c r="O410" s="9" t="n">
        <v>12</v>
      </c>
      <c r="P410" s="1">
        <f>ROUNDUP(1260*(1-$F$3),2)</f>
        <v/>
      </c>
      <c r="Q410" s="1" t="inlineStr">
        <is>
          <t> </t>
        </is>
      </c>
      <c r="R410" s="1" t="inlineStr">
        <is>
          <t>978-5-386-13977-3</t>
        </is>
      </c>
      <c r="S410" s="1" t="inlineStr">
        <is>
          <t>9785386139773</t>
        </is>
      </c>
      <c r="T410" s="9" t="n">
        <v>10</v>
      </c>
      <c r="U410" s="1">
        <f>ROUNDUP(1145.45*(1-$F$3),2)</f>
        <v/>
      </c>
      <c r="V410" s="1" t="n">
        <v>488</v>
      </c>
      <c r="Y410" s="1" t="inlineStr">
        <is>
          <t>Тени тевтонов</t>
        </is>
      </c>
      <c r="Z410" s="1" t="inlineStr">
        <is>
          <t>16+</t>
        </is>
      </c>
      <c r="AA410" s="12" t="n">
        <v>44211</v>
      </c>
      <c r="AB410" s="1" t="inlineStr">
        <is>
          <t>Художественная литература</t>
        </is>
      </c>
      <c r="AC410" s="1" t="inlineStr">
        <is>
          <t>Историческая проза</t>
        </is>
      </c>
      <c r="AD410" s="1" t="inlineStr">
        <is>
          <t>Русская историческая проза</t>
        </is>
      </c>
      <c r="AE410" s="1" t="inlineStr">
        <is>
          <t>офсетная</t>
        </is>
      </c>
      <c r="AG410" s="1" t="n">
        <v>9598890</v>
      </c>
      <c r="AI410" s="1" t="inlineStr">
        <is>
          <t>4901990000</t>
        </is>
      </c>
    </row>
    <row r="411" customFormat="1" s="1">
      <c r="C411" s="1" t="inlineStr">
        <is>
          <t xml:space="preserve">8229370             </t>
        </is>
      </c>
      <c r="D411" s="1" t="inlineStr">
        <is>
          <t>Библиотека "UNIVERSUM"</t>
        </is>
      </c>
      <c r="E411" s="1" t="inlineStr">
        <is>
          <t>Встречи с замечательными людьми. Гурджиев (Гюрджиев) Г.И.</t>
        </is>
      </c>
      <c r="F411" s="13" t="inlineStr">
        <is>
          <t>См.обл.</t>
        </is>
      </c>
      <c r="G411" s="1" t="inlineStr">
        <is>
          <t>Гурджиев (Гюрджиев) Г.И.</t>
        </is>
      </c>
      <c r="H411" s="1" t="inlineStr">
        <is>
          <t>60х90/16</t>
        </is>
      </c>
      <c r="I411" s="1" t="n">
        <v>352</v>
      </c>
      <c r="J411" s="1" t="inlineStr">
        <is>
          <t>РИПОЛ Классик</t>
        </is>
      </c>
      <c r="M411" s="1" t="inlineStr">
        <is>
          <t>2017</t>
        </is>
      </c>
      <c r="N411" s="1" t="inlineStr">
        <is>
          <t>П</t>
        </is>
      </c>
      <c r="O411" s="9" t="n">
        <v>14</v>
      </c>
      <c r="P411" s="1">
        <f>ROUNDUP(1300*(1-$F$3),2)</f>
        <v/>
      </c>
      <c r="Q411" s="1" t="inlineStr">
        <is>
          <t> </t>
        </is>
      </c>
      <c r="R411" s="1" t="inlineStr">
        <is>
          <t>978-5-386-10118-3</t>
        </is>
      </c>
      <c r="S411" s="1" t="inlineStr">
        <is>
          <t>9785386101183</t>
        </is>
      </c>
      <c r="T411" s="9" t="n">
        <v>10</v>
      </c>
      <c r="U411" s="1">
        <f>ROUNDUP(1181.82*(1-$F$3),2)</f>
        <v/>
      </c>
      <c r="V411" s="1" t="n">
        <v>448</v>
      </c>
      <c r="Y411" s="1" t="inlineStr">
        <is>
          <t>Встречи с замечательными людьми</t>
        </is>
      </c>
      <c r="Z411" s="1" t="inlineStr">
        <is>
          <t>16+</t>
        </is>
      </c>
      <c r="AA411" s="12" t="n">
        <v>42988</v>
      </c>
      <c r="AB411" s="1" t="inlineStr">
        <is>
          <t>Художественно-документальная проза</t>
        </is>
      </c>
      <c r="AC411" s="1" t="inlineStr">
        <is>
          <t>Биографии. Мемуары</t>
        </is>
      </c>
      <c r="AD411" s="1" t="inlineStr">
        <is>
          <t>Воспоминания. Дневники. Письма</t>
        </is>
      </c>
      <c r="AE411" s="1" t="inlineStr">
        <is>
          <t>офсетная</t>
        </is>
      </c>
      <c r="AG411" s="1" t="n">
        <v>8229370</v>
      </c>
      <c r="AI411" s="1" t="inlineStr">
        <is>
          <t>4901990000</t>
        </is>
      </c>
    </row>
    <row r="412" customFormat="1" s="1">
      <c r="C412" s="1" t="inlineStr">
        <is>
          <t xml:space="preserve">10535750            </t>
        </is>
      </c>
      <c r="D412" s="1" t="inlineStr">
        <is>
          <t>Библиотека Лавкрафта</t>
        </is>
      </c>
      <c r="E412" s="1" t="inlineStr">
        <is>
          <t>Дом о Семи Шпилях. Готорн Н.</t>
        </is>
      </c>
      <c r="F412" s="13" t="inlineStr">
        <is>
          <t>См.обл.</t>
        </is>
      </c>
      <c r="G412" s="1" t="inlineStr">
        <is>
          <t>Готорн Н.</t>
        </is>
      </c>
      <c r="H412" s="1" t="inlineStr">
        <is>
          <t>84х108/32</t>
        </is>
      </c>
      <c r="I412" s="1" t="n">
        <v>326</v>
      </c>
      <c r="J412" s="1" t="inlineStr">
        <is>
          <t>РИПОЛ Классик</t>
        </is>
      </c>
      <c r="M412" s="1" t="inlineStr">
        <is>
          <t>2026</t>
        </is>
      </c>
      <c r="N412" s="1" t="inlineStr">
        <is>
          <t>П</t>
        </is>
      </c>
      <c r="O412" s="9" t="n">
        <v>12</v>
      </c>
      <c r="P412" s="1">
        <f>ROUNDUP(1089*(1-$F$3),2)</f>
        <v/>
      </c>
      <c r="Q412" s="1" t="inlineStr">
        <is>
          <t> </t>
        </is>
      </c>
      <c r="R412" s="1" t="inlineStr">
        <is>
          <t>978-5-386-14860-7</t>
        </is>
      </c>
      <c r="S412" s="1" t="inlineStr">
        <is>
          <t>9785386148607</t>
        </is>
      </c>
      <c r="T412" s="9" t="n">
        <v>10</v>
      </c>
      <c r="U412" s="1">
        <f>ROUNDUP(990*(1-$F$3),2)</f>
        <v/>
      </c>
      <c r="V412" s="1" t="n">
        <v>374</v>
      </c>
      <c r="Y412" s="1" t="inlineStr">
        <is>
          <t>Дом о Семи Шпилях</t>
        </is>
      </c>
      <c r="Z412" s="1" t="inlineStr">
        <is>
          <t>16+</t>
        </is>
      </c>
      <c r="AA412" s="12" t="n">
        <v>44775</v>
      </c>
      <c r="AB412" s="1" t="inlineStr">
        <is>
          <t>Художественная литература</t>
        </is>
      </c>
      <c r="AC412" s="1" t="inlineStr">
        <is>
          <t>Фантастика. Мистика. Ужасы</t>
        </is>
      </c>
      <c r="AD412" s="1" t="inlineStr">
        <is>
          <t>Мистика. Ужасы</t>
        </is>
      </c>
      <c r="AE412" s="1" t="inlineStr">
        <is>
          <t>офсетная</t>
        </is>
      </c>
      <c r="AG412" s="1" t="n">
        <v>10535750</v>
      </c>
      <c r="AI412" s="1" t="inlineStr">
        <is>
          <t>4901990000</t>
        </is>
      </c>
    </row>
    <row r="413" customFormat="1" s="1">
      <c r="C413" s="1" t="inlineStr">
        <is>
          <t xml:space="preserve">11578620            </t>
        </is>
      </c>
      <c r="D413" s="1" t="inlineStr">
        <is>
          <t>Библиотека Лавкрафта</t>
        </is>
      </c>
      <c r="E413" s="1" t="inlineStr">
        <is>
          <t>Желание покоя. Ле Фаню Дж.Ш.</t>
        </is>
      </c>
      <c r="F413" s="13" t="inlineStr">
        <is>
          <t>См.обл.</t>
        </is>
      </c>
      <c r="G413" s="1" t="inlineStr">
        <is>
          <t>Ле Фаню Дж.Ш.</t>
        </is>
      </c>
      <c r="H413" s="1" t="inlineStr">
        <is>
          <t>84х108/32</t>
        </is>
      </c>
      <c r="I413" s="1" t="n">
        <v>432</v>
      </c>
      <c r="J413" s="1" t="inlineStr">
        <is>
          <t>РИПОЛ Классик</t>
        </is>
      </c>
      <c r="M413" s="1" t="inlineStr">
        <is>
          <t>2025</t>
        </is>
      </c>
      <c r="N413" s="1" t="inlineStr">
        <is>
          <t>П</t>
        </is>
      </c>
      <c r="O413" s="9" t="n">
        <v>4</v>
      </c>
      <c r="P413" s="1">
        <f>ROUNDUP(1310*(1-$F$3),2)</f>
        <v/>
      </c>
      <c r="Q413" s="1" t="inlineStr">
        <is>
          <t> </t>
        </is>
      </c>
      <c r="R413" s="1" t="inlineStr">
        <is>
          <t>978-5-386-15317-5</t>
        </is>
      </c>
      <c r="S413" s="1" t="inlineStr">
        <is>
          <t>9785386153175</t>
        </is>
      </c>
      <c r="T413" s="9" t="n">
        <v>10</v>
      </c>
      <c r="U413" s="1">
        <f>ROUNDUP(1190.91*(1-$F$3),2)</f>
        <v/>
      </c>
      <c r="V413" s="1" t="n">
        <v>412</v>
      </c>
      <c r="Y413" s="1" t="inlineStr">
        <is>
          <t>Желание покоя</t>
        </is>
      </c>
      <c r="Z413" s="1" t="inlineStr">
        <is>
          <t>16+</t>
        </is>
      </c>
      <c r="AA413" s="12" t="n">
        <v>45635</v>
      </c>
      <c r="AB413" s="1" t="inlineStr">
        <is>
          <t>Художественная литература</t>
        </is>
      </c>
      <c r="AC413" s="1" t="inlineStr">
        <is>
          <t>Фантастика. Мистика. Ужасы</t>
        </is>
      </c>
      <c r="AD413" s="1" t="inlineStr">
        <is>
          <t>Мистика. Ужасы</t>
        </is>
      </c>
      <c r="AE413" s="1" t="inlineStr">
        <is>
          <t>офсетная</t>
        </is>
      </c>
      <c r="AG413" s="1" t="n">
        <v>11578620</v>
      </c>
      <c r="AI413" s="1" t="inlineStr">
        <is>
          <t>4901990000</t>
        </is>
      </c>
      <c r="AJ413" s="1" t="inlineStr">
        <is>
          <t>Зпв</t>
        </is>
      </c>
    </row>
    <row r="414" customFormat="1" s="1">
      <c r="C414" s="1" t="inlineStr">
        <is>
          <t>11663970</t>
        </is>
      </c>
      <c r="D414" s="1" t="inlineStr">
        <is>
          <t>Библиотека Лавкрафта</t>
        </is>
      </c>
      <c r="E414" s="1" t="inlineStr">
        <is>
          <t>Желание покоя; Жук. Таинственная история; Дом о Семи Шпилях (комплект из 3-х книг). Ле Фаню Дж.Ш., Готорн Н., Марш Р.</t>
        </is>
      </c>
      <c r="F414" s="13" t="inlineStr">
        <is>
          <t>См.обл.</t>
        </is>
      </c>
      <c r="G414" s="1" t="inlineStr">
        <is>
          <t>Ле Фаню Дж.Ш., Готорн Н., Марш Р.</t>
        </is>
      </c>
      <c r="H414" s="1" t="inlineStr">
        <is>
          <t>84х108/32</t>
        </is>
      </c>
      <c r="I414" s="1" t="n">
        <v>1158</v>
      </c>
      <c r="J414" s="1" t="inlineStr">
        <is>
          <t>РИПОЛ Классик</t>
        </is>
      </c>
      <c r="M414" s="1" t="inlineStr">
        <is>
          <t>2025</t>
        </is>
      </c>
      <c r="N414" s="1" t="inlineStr">
        <is>
          <t>П</t>
        </is>
      </c>
      <c r="O414" s="9" t="n"/>
      <c r="P414" s="1">
        <f>ROUNDUP(3190*(1-$F$3),2)</f>
        <v/>
      </c>
      <c r="Q414" s="1" t="inlineStr">
        <is>
          <t> </t>
        </is>
      </c>
      <c r="R414" s="1" t="inlineStr">
        <is>
          <t>978-5-521-84476-0</t>
        </is>
      </c>
      <c r="S414" s="1" t="inlineStr">
        <is>
          <t>9785521844760</t>
        </is>
      </c>
      <c r="T414" s="9" t="n">
        <v>10</v>
      </c>
      <c r="U414" s="1">
        <f>ROUNDUP(2900*(1-$F$3),2)</f>
        <v/>
      </c>
      <c r="V414" s="1" t="n">
        <v>1207</v>
      </c>
      <c r="Y414" s="1" t="inlineStr">
        <is>
          <t>Желание покоя; Жук. Таинственная история; Дом о Семи Шпилях (комплект из 3-х книг)</t>
        </is>
      </c>
      <c r="Z414" s="1" t="inlineStr">
        <is>
          <t>16+</t>
        </is>
      </c>
      <c r="AA414" s="12" t="n">
        <v>45706</v>
      </c>
      <c r="AB414" s="1" t="inlineStr">
        <is>
          <t>Художественная литература</t>
        </is>
      </c>
      <c r="AC414" s="1" t="inlineStr">
        <is>
          <t>Фантастика. Мистика. Ужасы</t>
        </is>
      </c>
      <c r="AD414" s="1" t="inlineStr">
        <is>
          <t>Мистика. Ужасы</t>
        </is>
      </c>
      <c r="AE414" s="1" t="inlineStr">
        <is>
          <t>офсетная</t>
        </is>
      </c>
      <c r="AG414" s="1" t="n">
        <v>11663970</v>
      </c>
      <c r="AI414" s="1" t="inlineStr">
        <is>
          <t>4901990000</t>
        </is>
      </c>
    </row>
    <row r="415" customFormat="1" s="1">
      <c r="C415" s="1" t="inlineStr">
        <is>
          <t xml:space="preserve">11290060            </t>
        </is>
      </c>
      <c r="D415" s="1" t="inlineStr">
        <is>
          <t>Библиотека Лавкрафта</t>
        </is>
      </c>
      <c r="E415" s="1" t="inlineStr">
        <is>
          <t>Житель Каркозы. Бирс А.</t>
        </is>
      </c>
      <c r="F415" s="13" t="inlineStr">
        <is>
          <t>См.обл.</t>
        </is>
      </c>
      <c r="G415" s="1" t="inlineStr">
        <is>
          <t>Бирс А.</t>
        </is>
      </c>
      <c r="H415" s="1" t="inlineStr">
        <is>
          <t>84х108/32</t>
        </is>
      </c>
      <c r="I415" s="1" t="n">
        <v>336</v>
      </c>
      <c r="J415" s="1" t="inlineStr">
        <is>
          <t>РИПОЛ Классик</t>
        </is>
      </c>
      <c r="M415" s="1" t="inlineStr">
        <is>
          <t>2026</t>
        </is>
      </c>
      <c r="N415" s="1" t="inlineStr">
        <is>
          <t>П</t>
        </is>
      </c>
      <c r="O415" s="9" t="n">
        <v>12</v>
      </c>
      <c r="P415" s="1">
        <f>ROUNDUP(990*(1-$F$3),2)</f>
        <v/>
      </c>
      <c r="Q415" s="1" t="inlineStr">
        <is>
          <t> </t>
        </is>
      </c>
      <c r="R415" s="1" t="inlineStr">
        <is>
          <t>978-5-386-15070-9</t>
        </is>
      </c>
      <c r="S415" s="1" t="inlineStr">
        <is>
          <t>9785386150709</t>
        </is>
      </c>
      <c r="T415" s="9" t="n">
        <v>10</v>
      </c>
      <c r="U415" s="1">
        <f>ROUNDUP(900*(1-$F$3),2)</f>
        <v/>
      </c>
      <c r="V415" s="1" t="n">
        <v>369</v>
      </c>
      <c r="Y415" s="1" t="inlineStr">
        <is>
          <t>Житель Каркозы</t>
        </is>
      </c>
      <c r="Z415" s="1" t="inlineStr">
        <is>
          <t>16+</t>
        </is>
      </c>
      <c r="AA415" s="12" t="n">
        <v>45426</v>
      </c>
      <c r="AB415" s="1" t="inlineStr">
        <is>
          <t>Художественная литература</t>
        </is>
      </c>
      <c r="AC415" s="1" t="inlineStr">
        <is>
          <t>Фантастика. Мистика. Ужасы</t>
        </is>
      </c>
      <c r="AD415" s="1" t="inlineStr">
        <is>
          <t>Мистика. Ужасы</t>
        </is>
      </c>
      <c r="AE415" s="1" t="inlineStr">
        <is>
          <t>офсетная</t>
        </is>
      </c>
      <c r="AG415" s="1" t="n">
        <v>11290060</v>
      </c>
      <c r="AI415" s="1" t="inlineStr">
        <is>
          <t>4901990000</t>
        </is>
      </c>
    </row>
    <row r="416" customFormat="1" s="1">
      <c r="C416" s="1" t="inlineStr">
        <is>
          <t xml:space="preserve">11436270            </t>
        </is>
      </c>
      <c r="D416" s="1" t="inlineStr">
        <is>
          <t>Библиотека Лавкрафта</t>
        </is>
      </c>
      <c r="E416" s="1" t="inlineStr">
        <is>
          <t>Занони. Бульвер-Литтон Э.Дж.</t>
        </is>
      </c>
      <c r="F416" s="13" t="inlineStr">
        <is>
          <t>См.обл.</t>
        </is>
      </c>
      <c r="G416" s="1" t="inlineStr">
        <is>
          <t>Бульвер-Литтон Э.Дж.</t>
        </is>
      </c>
      <c r="H416" s="1" t="inlineStr">
        <is>
          <t>84х108/32</t>
        </is>
      </c>
      <c r="I416" s="1" t="n">
        <v>480</v>
      </c>
      <c r="J416" s="1" t="inlineStr">
        <is>
          <t>РИПОЛ Классик</t>
        </is>
      </c>
      <c r="M416" s="1" t="inlineStr">
        <is>
          <t>2025</t>
        </is>
      </c>
      <c r="N416" s="1" t="inlineStr">
        <is>
          <t>П</t>
        </is>
      </c>
      <c r="O416" s="9" t="n">
        <v>4</v>
      </c>
      <c r="P416" s="1">
        <f>ROUNDUP(1250*(1-$F$3),2)</f>
        <v/>
      </c>
      <c r="Q416" s="1" t="inlineStr">
        <is>
          <t> </t>
        </is>
      </c>
      <c r="R416" s="1" t="inlineStr">
        <is>
          <t>978-5-386-15141-6</t>
        </is>
      </c>
      <c r="S416" s="1" t="inlineStr">
        <is>
          <t>9785386151416</t>
        </is>
      </c>
      <c r="T416" s="9" t="n">
        <v>10</v>
      </c>
      <c r="U416" s="1">
        <f>ROUNDUP(1136.36*(1-$F$3),2)</f>
        <v/>
      </c>
      <c r="V416" s="1" t="n">
        <v>447</v>
      </c>
      <c r="Y416" s="1" t="inlineStr">
        <is>
          <t>Занони</t>
        </is>
      </c>
      <c r="Z416" s="1" t="inlineStr">
        <is>
          <t>16+</t>
        </is>
      </c>
      <c r="AA416" s="12" t="n">
        <v>45537</v>
      </c>
      <c r="AB416" s="1" t="inlineStr">
        <is>
          <t>Художественная литература</t>
        </is>
      </c>
      <c r="AC416" s="1" t="inlineStr">
        <is>
          <t>Фантастика. Мистика. Ужасы</t>
        </is>
      </c>
      <c r="AD416" s="1" t="inlineStr">
        <is>
          <t>Мистика. Ужасы</t>
        </is>
      </c>
      <c r="AE416" s="1" t="inlineStr">
        <is>
          <t>офсетная</t>
        </is>
      </c>
      <c r="AG416" s="1" t="n">
        <v>11436270</v>
      </c>
      <c r="AI416" s="1" t="inlineStr">
        <is>
          <t>4901990000</t>
        </is>
      </c>
    </row>
    <row r="417" customFormat="1" s="1">
      <c r="C417" s="1" t="inlineStr">
        <is>
          <t>11664070</t>
        </is>
      </c>
      <c r="D417" s="1" t="inlineStr">
        <is>
          <t>Библиотека Лавкрафта</t>
        </is>
      </c>
      <c r="E417" s="1" t="inlineStr">
        <is>
          <t>Занони; Тайная слава; Скорбь Сатаны (комплект из 3-х книг). Мейчен А., Корелли М., Бульвер-Литтон Э.Дж.</t>
        </is>
      </c>
      <c r="F417" s="13" t="inlineStr">
        <is>
          <t>См.обл.</t>
        </is>
      </c>
      <c r="G417" s="1" t="inlineStr">
        <is>
          <t>Мейчен А., Корелли М., Бульвер-Литтон Э.Дж.</t>
        </is>
      </c>
      <c r="H417" s="1" t="inlineStr">
        <is>
          <t>84х108/32</t>
        </is>
      </c>
      <c r="I417" s="1" t="n">
        <v>1440</v>
      </c>
      <c r="J417" s="1" t="inlineStr">
        <is>
          <t>РИПОЛ Классик</t>
        </is>
      </c>
      <c r="M417" s="1" t="inlineStr">
        <is>
          <t>2025</t>
        </is>
      </c>
      <c r="N417" s="1" t="inlineStr">
        <is>
          <t>П</t>
        </is>
      </c>
      <c r="O417" s="9" t="n"/>
      <c r="P417" s="1">
        <f>ROUNDUP(3190*(1-$F$3),2)</f>
        <v/>
      </c>
      <c r="Q417" s="1" t="inlineStr">
        <is>
          <t> </t>
        </is>
      </c>
      <c r="R417" s="1" t="inlineStr">
        <is>
          <t>978-5-521-84479-1</t>
        </is>
      </c>
      <c r="S417" s="1" t="inlineStr">
        <is>
          <t>9785521844791</t>
        </is>
      </c>
      <c r="T417" s="9" t="n">
        <v>10</v>
      </c>
      <c r="U417" s="1">
        <f>ROUNDUP(2900*(1-$F$3),2)</f>
        <v/>
      </c>
      <c r="V417" s="1" t="n">
        <v>1341</v>
      </c>
      <c r="Y417" s="1" t="inlineStr">
        <is>
          <t>Занони; Тайная слава; Скорбь Сатаны (комплект из 3-х книг)</t>
        </is>
      </c>
      <c r="Z417" s="1" t="inlineStr">
        <is>
          <t>16+</t>
        </is>
      </c>
      <c r="AA417" s="12" t="n">
        <v>45706</v>
      </c>
      <c r="AB417" s="1" t="inlineStr">
        <is>
          <t>Художественная литература</t>
        </is>
      </c>
      <c r="AC417" s="1" t="inlineStr">
        <is>
          <t>Фантастика. Мистика. Ужасы</t>
        </is>
      </c>
      <c r="AD417" s="1" t="inlineStr">
        <is>
          <t>Мистика. Ужасы</t>
        </is>
      </c>
      <c r="AE417" s="1" t="inlineStr">
        <is>
          <t>офсетная</t>
        </is>
      </c>
      <c r="AG417" s="1" t="n">
        <v>11664070</v>
      </c>
      <c r="AI417" s="1" t="inlineStr">
        <is>
          <t>4901990000</t>
        </is>
      </c>
    </row>
    <row r="418" customFormat="1" s="1">
      <c r="C418" s="1" t="inlineStr">
        <is>
          <t xml:space="preserve">11067710            </t>
        </is>
      </c>
      <c r="D418" s="1" t="inlineStr">
        <is>
          <t>Библиотека Лавкрафта</t>
        </is>
      </c>
      <c r="E418" s="1" t="inlineStr">
        <is>
          <t>Зеленый круг. Мейчен А.</t>
        </is>
      </c>
      <c r="F418" s="13" t="inlineStr">
        <is>
          <t>См.обл.</t>
        </is>
      </c>
      <c r="G418" s="1" t="inlineStr">
        <is>
          <t>Мейчен А.</t>
        </is>
      </c>
      <c r="H418" s="1" t="inlineStr">
        <is>
          <t>84х108/32</t>
        </is>
      </c>
      <c r="I418" s="1" t="n">
        <v>384</v>
      </c>
      <c r="J418" s="1" t="inlineStr">
        <is>
          <t>РИПОЛ Классик</t>
        </is>
      </c>
      <c r="M418" s="1" t="inlineStr">
        <is>
          <t>2023</t>
        </is>
      </c>
      <c r="N418" s="1" t="inlineStr">
        <is>
          <t>П</t>
        </is>
      </c>
      <c r="O418" s="9" t="n">
        <v>8</v>
      </c>
      <c r="P418" s="1">
        <f>ROUNDUP(1680*(1-$F$3),2)</f>
        <v/>
      </c>
      <c r="Q418" s="1" t="inlineStr">
        <is>
          <t> </t>
        </is>
      </c>
      <c r="R418" s="1" t="inlineStr">
        <is>
          <t>978-5-386-15091-4</t>
        </is>
      </c>
      <c r="S418" s="1" t="inlineStr">
        <is>
          <t>9785386150914</t>
        </is>
      </c>
      <c r="T418" s="9" t="n">
        <v>10</v>
      </c>
      <c r="U418" s="1">
        <f>ROUNDUP(1527.27*(1-$F$3),2)</f>
        <v/>
      </c>
      <c r="V418" s="1" t="n">
        <v>391</v>
      </c>
      <c r="Y418" s="1" t="inlineStr">
        <is>
          <t>Зеленый круг</t>
        </is>
      </c>
      <c r="Z418" s="1" t="inlineStr">
        <is>
          <t>16+</t>
        </is>
      </c>
      <c r="AA418" s="12" t="n">
        <v>45195</v>
      </c>
      <c r="AB418" s="1" t="inlineStr">
        <is>
          <t>Художественная литература</t>
        </is>
      </c>
      <c r="AC418" s="1" t="inlineStr">
        <is>
          <t>Фантастика. Мистика. Ужасы</t>
        </is>
      </c>
      <c r="AD418" s="1" t="inlineStr">
        <is>
          <t>Зарубежная фантастика</t>
        </is>
      </c>
      <c r="AE418" s="1" t="inlineStr">
        <is>
          <t>офсетная</t>
        </is>
      </c>
      <c r="AG418" s="1" t="n">
        <v>11067710</v>
      </c>
      <c r="AI418" s="1" t="inlineStr">
        <is>
          <t>4901990000</t>
        </is>
      </c>
      <c r="AJ418" s="1" t="inlineStr">
        <is>
          <t>Зпв</t>
        </is>
      </c>
    </row>
    <row r="419" customFormat="1" s="1">
      <c r="C419" s="1" t="inlineStr">
        <is>
          <t xml:space="preserve">11145080            </t>
        </is>
      </c>
      <c r="D419" s="1" t="inlineStr">
        <is>
          <t>Библиотека Лавкрафта</t>
        </is>
      </c>
      <c r="E419" s="1" t="inlineStr">
        <is>
          <t>Злоключения Джона Николсона. Стивенсон Р.Л.</t>
        </is>
      </c>
      <c r="F419" s="13" t="inlineStr">
        <is>
          <t>См.обл.</t>
        </is>
      </c>
      <c r="G419" s="1" t="inlineStr">
        <is>
          <t>Стивенсон Р.Л.</t>
        </is>
      </c>
      <c r="H419" s="1" t="inlineStr">
        <is>
          <t>84х108/32</t>
        </is>
      </c>
      <c r="I419" s="1" t="n">
        <v>512</v>
      </c>
      <c r="J419" s="1" t="inlineStr">
        <is>
          <t>РИПОЛ Классик</t>
        </is>
      </c>
      <c r="M419" s="1" t="inlineStr">
        <is>
          <t>2024</t>
        </is>
      </c>
      <c r="N419" s="1" t="inlineStr">
        <is>
          <t>П</t>
        </is>
      </c>
      <c r="O419" s="9" t="n">
        <v>4</v>
      </c>
      <c r="P419" s="1">
        <f>ROUNDUP(1590*(1-$F$3),2)</f>
        <v/>
      </c>
      <c r="Q419" s="1" t="inlineStr">
        <is>
          <t> </t>
        </is>
      </c>
      <c r="R419" s="1" t="inlineStr">
        <is>
          <t>978-5-386-15126-3</t>
        </is>
      </c>
      <c r="S419" s="1" t="inlineStr">
        <is>
          <t>9785386151263</t>
        </is>
      </c>
      <c r="T419" s="9" t="n">
        <v>10</v>
      </c>
      <c r="U419" s="1">
        <f>ROUNDUP(1445.45*(1-$F$3),2)</f>
        <v/>
      </c>
      <c r="V419" s="1" t="n">
        <v>405</v>
      </c>
      <c r="Y419" s="1" t="inlineStr">
        <is>
          <t>Злоключения Джона Николсона</t>
        </is>
      </c>
      <c r="Z419" s="1" t="inlineStr">
        <is>
          <t>16+</t>
        </is>
      </c>
      <c r="AA419" s="12" t="n">
        <v>45258</v>
      </c>
      <c r="AB419" s="1" t="inlineStr">
        <is>
          <t>Художественная литература</t>
        </is>
      </c>
      <c r="AC419" s="1" t="inlineStr">
        <is>
          <t>Фантастика. Мистика. Ужасы</t>
        </is>
      </c>
      <c r="AD419" s="1" t="inlineStr">
        <is>
          <t>Мистика. Ужасы</t>
        </is>
      </c>
      <c r="AE419" s="1" t="inlineStr">
        <is>
          <t>офсетная</t>
        </is>
      </c>
      <c r="AG419" s="1" t="n">
        <v>11145080</v>
      </c>
      <c r="AI419" s="1" t="inlineStr">
        <is>
          <t>4901990000</t>
        </is>
      </c>
    </row>
    <row r="420" customFormat="1" s="1">
      <c r="C420" s="1" t="inlineStr">
        <is>
          <t xml:space="preserve">11909630            </t>
        </is>
      </c>
      <c r="D420" s="1" t="inlineStr">
        <is>
          <t>Библиотека Лавкрафта</t>
        </is>
      </c>
      <c r="E420" s="1" t="inlineStr">
        <is>
          <t>Имя на камне. Лафкадио Хирн (Коидзуми Якумо)</t>
        </is>
      </c>
      <c r="F420" s="13" t="inlineStr">
        <is>
          <t>См.обл.</t>
        </is>
      </c>
      <c r="G420" s="1" t="inlineStr">
        <is>
          <t>Лафкадио Хирн (Коидзуми Якумо)</t>
        </is>
      </c>
      <c r="H420" s="1" t="inlineStr">
        <is>
          <t>84х108/32</t>
        </is>
      </c>
      <c r="I420" s="1" t="n">
        <v>432</v>
      </c>
      <c r="J420" s="1" t="inlineStr">
        <is>
          <t>РИПОЛ Классик</t>
        </is>
      </c>
      <c r="M420" s="1" t="inlineStr">
        <is>
          <t>2026</t>
        </is>
      </c>
      <c r="N420" s="1" t="inlineStr">
        <is>
          <t>П</t>
        </is>
      </c>
      <c r="O420" s="9" t="n">
        <v>10</v>
      </c>
      <c r="P420" s="1">
        <f>ROUNDUP(1200*(1-$F$3),2)</f>
        <v/>
      </c>
      <c r="Q420" s="1" t="inlineStr">
        <is>
          <t> </t>
        </is>
      </c>
      <c r="R420" s="1" t="inlineStr">
        <is>
          <t>978-5-386-15425-7</t>
        </is>
      </c>
      <c r="S420" s="1" t="inlineStr">
        <is>
          <t>9785386154257</t>
        </is>
      </c>
      <c r="T420" s="9" t="n">
        <v>10</v>
      </c>
      <c r="U420" s="1">
        <f>ROUNDUP(1090.91*(1-$F$3),2)</f>
        <v/>
      </c>
      <c r="V420" s="1" t="n">
        <v>466</v>
      </c>
      <c r="Y420" s="1" t="inlineStr">
        <is>
          <t>Имя на камне</t>
        </is>
      </c>
      <c r="Z420" s="1" t="inlineStr">
        <is>
          <t>16+</t>
        </is>
      </c>
      <c r="AA420" s="12" t="n">
        <v>45944</v>
      </c>
      <c r="AB420" s="1" t="inlineStr">
        <is>
          <t>Художественная литература</t>
        </is>
      </c>
      <c r="AC420" s="1" t="inlineStr">
        <is>
          <t>Зарубежная литература</t>
        </is>
      </c>
      <c r="AD420" s="1" t="inlineStr">
        <is>
          <t>Европейская литература</t>
        </is>
      </c>
      <c r="AE420" s="1" t="inlineStr">
        <is>
          <t>офсетная</t>
        </is>
      </c>
      <c r="AG420" s="1" t="n">
        <v>11909630</v>
      </c>
      <c r="AI420" s="1" t="inlineStr">
        <is>
          <t>4901990000</t>
        </is>
      </c>
    </row>
    <row r="421" customFormat="1" s="1">
      <c r="C421" s="1" t="inlineStr">
        <is>
          <t xml:space="preserve">11436580            </t>
        </is>
      </c>
      <c r="D421" s="1" t="inlineStr">
        <is>
          <t>Библиотека Лавкрафта</t>
        </is>
      </c>
      <c r="E421" s="1" t="inlineStr">
        <is>
          <t>Клуб "Непокорные". Бакен Дж.</t>
        </is>
      </c>
      <c r="F421" s="13" t="inlineStr">
        <is>
          <t>См.обл.</t>
        </is>
      </c>
      <c r="G421" s="1" t="inlineStr">
        <is>
          <t>Бакен Дж.</t>
        </is>
      </c>
      <c r="H421" s="1" t="inlineStr">
        <is>
          <t>84х108/32</t>
        </is>
      </c>
      <c r="I421" s="1" t="n">
        <v>384</v>
      </c>
      <c r="J421" s="1" t="inlineStr">
        <is>
          <t>РИПОЛ Классик</t>
        </is>
      </c>
      <c r="M421" s="1" t="inlineStr">
        <is>
          <t>2025</t>
        </is>
      </c>
      <c r="N421" s="1" t="inlineStr">
        <is>
          <t>П</t>
        </is>
      </c>
      <c r="O421" s="9" t="n">
        <v>5</v>
      </c>
      <c r="P421" s="1">
        <f>ROUNDUP(1140*(1-$F$3),2)</f>
        <v/>
      </c>
      <c r="Q421" s="1" t="inlineStr">
        <is>
          <t> </t>
        </is>
      </c>
      <c r="R421" s="1" t="inlineStr">
        <is>
          <t>978-5-386-15219-2</t>
        </is>
      </c>
      <c r="S421" s="1" t="inlineStr">
        <is>
          <t>9785386152192</t>
        </is>
      </c>
      <c r="T421" s="9" t="n">
        <v>10</v>
      </c>
      <c r="U421" s="1">
        <f>ROUNDUP(1036.36*(1-$F$3),2)</f>
        <v/>
      </c>
      <c r="V421" s="1" t="n">
        <v>431</v>
      </c>
      <c r="Y421" s="1" t="inlineStr">
        <is>
          <t>Клуб "Непокорные"</t>
        </is>
      </c>
      <c r="Z421" s="1" t="inlineStr">
        <is>
          <t>16+</t>
        </is>
      </c>
      <c r="AA421" s="12" t="n">
        <v>45537</v>
      </c>
      <c r="AB421" s="1" t="inlineStr">
        <is>
          <t>Художественная литература</t>
        </is>
      </c>
      <c r="AC421" s="1" t="inlineStr">
        <is>
          <t>Зарубежная литература</t>
        </is>
      </c>
      <c r="AD421" s="1" t="inlineStr">
        <is>
          <t>Европейская литература</t>
        </is>
      </c>
      <c r="AE421" s="1" t="inlineStr">
        <is>
          <t>офсетная</t>
        </is>
      </c>
      <c r="AG421" s="1" t="n">
        <v>11436580</v>
      </c>
      <c r="AI421" s="1" t="inlineStr">
        <is>
          <t>4901990000</t>
        </is>
      </c>
    </row>
    <row r="422" customFormat="1" s="1">
      <c r="C422" s="1" t="inlineStr">
        <is>
          <t xml:space="preserve">10536280            </t>
        </is>
      </c>
      <c r="D422" s="1" t="inlineStr">
        <is>
          <t>Библиотека Лавкрафта</t>
        </is>
      </c>
      <c r="E422" s="1" t="inlineStr">
        <is>
          <t>Книги Судей. Бенсон Э.Ф.</t>
        </is>
      </c>
      <c r="F422" s="13" t="inlineStr">
        <is>
          <t>См.обл.</t>
        </is>
      </c>
      <c r="G422" s="1" t="inlineStr">
        <is>
          <t>Бенсон Э.Ф.</t>
        </is>
      </c>
      <c r="H422" s="1" t="inlineStr">
        <is>
          <t>84х108/32</t>
        </is>
      </c>
      <c r="I422" s="1" t="n">
        <v>274</v>
      </c>
      <c r="J422" s="1" t="inlineStr">
        <is>
          <t>РИПОЛ Классик</t>
        </is>
      </c>
      <c r="M422" s="1" t="inlineStr">
        <is>
          <t>2025</t>
        </is>
      </c>
      <c r="N422" s="1" t="inlineStr">
        <is>
          <t>П</t>
        </is>
      </c>
      <c r="O422" s="9" t="n">
        <v>5</v>
      </c>
      <c r="P422" s="1">
        <f>ROUNDUP(1160*(1-$F$3),2)</f>
        <v/>
      </c>
      <c r="Q422" s="1" t="inlineStr">
        <is>
          <t> </t>
        </is>
      </c>
      <c r="R422" s="1" t="inlineStr">
        <is>
          <t>978-5-386-14879-9</t>
        </is>
      </c>
      <c r="S422" s="1" t="inlineStr">
        <is>
          <t>9785386148799</t>
        </is>
      </c>
      <c r="T422" s="9" t="n">
        <v>10</v>
      </c>
      <c r="U422" s="1">
        <f>ROUNDUP(1054.55*(1-$F$3),2)</f>
        <v/>
      </c>
      <c r="V422" s="1" t="n">
        <v>292</v>
      </c>
      <c r="Y422" s="1" t="inlineStr">
        <is>
          <t>Книги Судей</t>
        </is>
      </c>
      <c r="Z422" s="1" t="inlineStr">
        <is>
          <t>16+</t>
        </is>
      </c>
      <c r="AA422" s="12" t="n">
        <v>44776</v>
      </c>
      <c r="AB422" s="1" t="inlineStr">
        <is>
          <t>Художественная литература</t>
        </is>
      </c>
      <c r="AC422" s="1" t="inlineStr">
        <is>
          <t>Фантастика. Мистика. Ужасы</t>
        </is>
      </c>
      <c r="AD422" s="1" t="inlineStr">
        <is>
          <t>Мистика. Ужасы</t>
        </is>
      </c>
      <c r="AE422" s="1" t="inlineStr">
        <is>
          <t>офсетная</t>
        </is>
      </c>
      <c r="AG422" s="1" t="n">
        <v>10536280</v>
      </c>
      <c r="AI422" s="1" t="inlineStr">
        <is>
          <t>4901990000</t>
        </is>
      </c>
      <c r="AJ422" s="1" t="inlineStr">
        <is>
          <t>Зпв</t>
        </is>
      </c>
    </row>
    <row r="423" customFormat="1" s="1">
      <c r="C423" s="1" t="inlineStr">
        <is>
          <t xml:space="preserve">10881720            </t>
        </is>
      </c>
      <c r="D423" s="1" t="inlineStr">
        <is>
          <t>Библиотека Лавкрафта</t>
        </is>
      </c>
      <c r="E423" s="1" t="inlineStr">
        <is>
          <t>Король в Желтом. Чамберс Р.</t>
        </is>
      </c>
      <c r="F423" s="13" t="inlineStr">
        <is>
          <t>См.обл.</t>
        </is>
      </c>
      <c r="G423" s="1" t="inlineStr">
        <is>
          <t>Чамберс Р.</t>
        </is>
      </c>
      <c r="H423" s="1" t="inlineStr">
        <is>
          <t>84х108/32</t>
        </is>
      </c>
      <c r="I423" s="1" t="n">
        <v>320</v>
      </c>
      <c r="J423" s="1" t="inlineStr">
        <is>
          <t>РИПОЛ Классик</t>
        </is>
      </c>
      <c r="M423" s="1" t="inlineStr">
        <is>
          <t>2025</t>
        </is>
      </c>
      <c r="N423" s="1" t="inlineStr">
        <is>
          <t>П</t>
        </is>
      </c>
      <c r="O423" s="9" t="n">
        <v>12</v>
      </c>
      <c r="P423" s="1">
        <f>ROUNDUP(960*(1-$F$3),2)</f>
        <v/>
      </c>
      <c r="Q423" s="1" t="inlineStr">
        <is>
          <t> </t>
        </is>
      </c>
      <c r="R423" s="1" t="inlineStr">
        <is>
          <t>978-5-386-14985-7</t>
        </is>
      </c>
      <c r="S423" s="1" t="inlineStr">
        <is>
          <t>9785386149857</t>
        </is>
      </c>
      <c r="T423" s="9" t="n">
        <v>10</v>
      </c>
      <c r="U423" s="1">
        <f>ROUNDUP(872.73*(1-$F$3),2)</f>
        <v/>
      </c>
      <c r="V423" s="1" t="n">
        <v>342</v>
      </c>
      <c r="Y423" s="1" t="inlineStr">
        <is>
          <t>Король в Желтом</t>
        </is>
      </c>
      <c r="Z423" s="1" t="inlineStr">
        <is>
          <t>16+</t>
        </is>
      </c>
      <c r="AA423" s="12" t="n">
        <v>45046</v>
      </c>
      <c r="AB423" s="1" t="inlineStr">
        <is>
          <t>Художественная литература</t>
        </is>
      </c>
      <c r="AC423" s="1" t="inlineStr">
        <is>
          <t>Фантастика. Мистика. Ужасы</t>
        </is>
      </c>
      <c r="AD423" s="1" t="inlineStr">
        <is>
          <t>Мистика. Ужасы</t>
        </is>
      </c>
      <c r="AE423" s="1" t="inlineStr">
        <is>
          <t>офсетная</t>
        </is>
      </c>
      <c r="AG423" s="1" t="n">
        <v>10881720</v>
      </c>
      <c r="AI423" s="1" t="inlineStr">
        <is>
          <t>4901990000</t>
        </is>
      </c>
    </row>
    <row r="424" customFormat="1" s="1">
      <c r="C424" s="1" t="inlineStr">
        <is>
          <t xml:space="preserve">11774620            </t>
        </is>
      </c>
      <c r="D424" s="1" t="inlineStr">
        <is>
          <t>Библиотека Лавкрафта</t>
        </is>
      </c>
      <c r="E424" s="1" t="inlineStr">
        <is>
          <t>Обезьянья лапа. Джекобс В.В</t>
        </is>
      </c>
      <c r="F424" s="13" t="inlineStr">
        <is>
          <t>См.обл.</t>
        </is>
      </c>
      <c r="G424" s="1" t="inlineStr">
        <is>
          <t>Джекобс В.В</t>
        </is>
      </c>
      <c r="H424" s="1" t="inlineStr">
        <is>
          <t>84х108/32</t>
        </is>
      </c>
      <c r="I424" s="1" t="n">
        <v>432</v>
      </c>
      <c r="J424" s="1" t="inlineStr">
        <is>
          <t>РИПОЛ Классик</t>
        </is>
      </c>
      <c r="M424" s="1" t="inlineStr">
        <is>
          <t>2025</t>
        </is>
      </c>
      <c r="N424" s="1" t="inlineStr">
        <is>
          <t>П</t>
        </is>
      </c>
      <c r="O424" s="9" t="n">
        <v>6</v>
      </c>
      <c r="P424" s="1">
        <f>ROUNDUP(1250*(1-$F$3),2)</f>
        <v/>
      </c>
      <c r="Q424" s="1" t="inlineStr">
        <is>
          <t> </t>
        </is>
      </c>
      <c r="R424" s="1" t="inlineStr">
        <is>
          <t>978-5-386-15289-5</t>
        </is>
      </c>
      <c r="S424" s="1" t="inlineStr">
        <is>
          <t>9785386152895</t>
        </is>
      </c>
      <c r="T424" s="9" t="n">
        <v>10</v>
      </c>
      <c r="U424" s="1">
        <f>ROUNDUP(1136.36*(1-$F$3),2)</f>
        <v/>
      </c>
      <c r="V424" s="1" t="n">
        <v>468</v>
      </c>
      <c r="Y424" s="1" t="inlineStr">
        <is>
          <t>Обезьянья лапа</t>
        </is>
      </c>
      <c r="Z424" s="1" t="inlineStr">
        <is>
          <t>16+</t>
        </is>
      </c>
      <c r="AA424" s="12" t="n">
        <v>45814</v>
      </c>
      <c r="AB424" s="1" t="inlineStr">
        <is>
          <t>Художественная литература</t>
        </is>
      </c>
      <c r="AC424" s="1" t="inlineStr">
        <is>
          <t>Фантастика. Мистика. Ужасы</t>
        </is>
      </c>
      <c r="AD424" s="1" t="inlineStr">
        <is>
          <t>Мистика. Ужасы</t>
        </is>
      </c>
      <c r="AE424" s="1" t="inlineStr">
        <is>
          <t>офсетная</t>
        </is>
      </c>
      <c r="AG424" s="1" t="n">
        <v>11774620</v>
      </c>
      <c r="AI424" s="1" t="inlineStr">
        <is>
          <t>4901990000</t>
        </is>
      </c>
    </row>
    <row r="425" customFormat="1" s="1">
      <c r="C425" s="1" t="inlineStr">
        <is>
          <t xml:space="preserve">10814080            </t>
        </is>
      </c>
      <c r="D425" s="1" t="inlineStr">
        <is>
          <t>Библиотека Лавкрафта</t>
        </is>
      </c>
      <c r="E425" s="1" t="inlineStr">
        <is>
          <t>Обмен душами. Пейн Б.</t>
        </is>
      </c>
      <c r="F425" s="13" t="inlineStr">
        <is>
          <t>См.обл.</t>
        </is>
      </c>
      <c r="G425" s="1" t="inlineStr">
        <is>
          <t>Пейн Б.</t>
        </is>
      </c>
      <c r="H425" s="1" t="inlineStr">
        <is>
          <t>84х108/32</t>
        </is>
      </c>
      <c r="I425" s="1" t="n">
        <v>298</v>
      </c>
      <c r="J425" s="1" t="inlineStr">
        <is>
          <t>РИПОЛ Классик</t>
        </is>
      </c>
      <c r="M425" s="1" t="inlineStr">
        <is>
          <t>2026</t>
        </is>
      </c>
      <c r="N425" s="1" t="inlineStr">
        <is>
          <t>П</t>
        </is>
      </c>
      <c r="O425" s="9" t="n">
        <v>12</v>
      </c>
      <c r="P425" s="1">
        <f>ROUNDUP(1173.8*(1-$F$3),2)</f>
        <v/>
      </c>
      <c r="Q425" s="1" t="inlineStr">
        <is>
          <t> </t>
        </is>
      </c>
      <c r="R425" s="1" t="inlineStr">
        <is>
          <t>978-5-386-14983-3</t>
        </is>
      </c>
      <c r="S425" s="1" t="inlineStr">
        <is>
          <t>9785386149833</t>
        </is>
      </c>
      <c r="T425" s="9" t="n">
        <v>10</v>
      </c>
      <c r="U425" s="1">
        <f>ROUNDUP(1067.09*(1-$F$3),2)</f>
        <v/>
      </c>
      <c r="V425" s="1" t="n">
        <v>412</v>
      </c>
      <c r="Y425" s="1" t="inlineStr">
        <is>
          <t>Обмен душами</t>
        </is>
      </c>
      <c r="Z425" s="1" t="inlineStr">
        <is>
          <t>16+</t>
        </is>
      </c>
      <c r="AA425" s="12" t="n">
        <v>44970</v>
      </c>
      <c r="AB425" s="1" t="inlineStr">
        <is>
          <t>Художественная литература</t>
        </is>
      </c>
      <c r="AC425" s="1" t="inlineStr">
        <is>
          <t>Фантастика. Мистика. Ужасы</t>
        </is>
      </c>
      <c r="AD425" s="1" t="inlineStr">
        <is>
          <t>Мистика. Ужасы</t>
        </is>
      </c>
      <c r="AE425" s="1" t="inlineStr">
        <is>
          <t>офсетная</t>
        </is>
      </c>
      <c r="AG425" s="1" t="n">
        <v>10814080</v>
      </c>
      <c r="AI425" s="1" t="inlineStr">
        <is>
          <t>4901990000</t>
        </is>
      </c>
    </row>
    <row r="426" customFormat="1" s="1">
      <c r="C426" s="1" t="inlineStr">
        <is>
          <t>11664340</t>
        </is>
      </c>
      <c r="D426" s="1" t="inlineStr">
        <is>
          <t>Библиотека Лавкрафта</t>
        </is>
      </c>
      <c r="E426" s="1" t="inlineStr">
        <is>
          <t>Обмен душами; Аватара; Король в Желтом ( комплект из 3-х книг). Готье Т., Чамберс Р., Пейн Б.</t>
        </is>
      </c>
      <c r="F426" s="13" t="inlineStr">
        <is>
          <t>См.обл.</t>
        </is>
      </c>
      <c r="G426" s="1" t="inlineStr">
        <is>
          <t>Готье Т., Чамберс Р., Пейн Б.</t>
        </is>
      </c>
      <c r="H426" s="1" t="inlineStr">
        <is>
          <t>84х108/32</t>
        </is>
      </c>
      <c r="I426" s="1" t="n">
        <v>858</v>
      </c>
      <c r="J426" s="1" t="inlineStr">
        <is>
          <t>РИПОЛ Классик</t>
        </is>
      </c>
      <c r="M426" s="1" t="inlineStr">
        <is>
          <t>2025</t>
        </is>
      </c>
      <c r="N426" s="1" t="inlineStr">
        <is>
          <t>П</t>
        </is>
      </c>
      <c r="O426" s="9" t="n"/>
      <c r="P426" s="1">
        <f>ROUNDUP(2910*(1-$F$3),2)</f>
        <v/>
      </c>
      <c r="Q426" s="1" t="inlineStr">
        <is>
          <t> </t>
        </is>
      </c>
      <c r="R426" s="1" t="inlineStr">
        <is>
          <t>978-5-521-84495-1</t>
        </is>
      </c>
      <c r="S426" s="1" t="inlineStr">
        <is>
          <t>9785521844951</t>
        </is>
      </c>
      <c r="T426" s="9" t="n">
        <v>10</v>
      </c>
      <c r="U426" s="1">
        <f>ROUNDUP(2645.45*(1-$F$3),2)</f>
        <v/>
      </c>
      <c r="V426" s="1" t="n">
        <v>1078</v>
      </c>
      <c r="Y426" s="1" t="inlineStr">
        <is>
          <t>Обмен душами; Аватара; Король в Желтом ( комплект из 3-х книг)</t>
        </is>
      </c>
      <c r="Z426" s="1" t="inlineStr">
        <is>
          <t>16+</t>
        </is>
      </c>
      <c r="AA426" s="12" t="n">
        <v>45706</v>
      </c>
      <c r="AB426" s="1" t="inlineStr">
        <is>
          <t>Художественная литература</t>
        </is>
      </c>
      <c r="AC426" s="1" t="inlineStr">
        <is>
          <t>Фантастика. Мистика. Ужасы</t>
        </is>
      </c>
      <c r="AD426" s="1" t="inlineStr">
        <is>
          <t>Мистика. Ужасы</t>
        </is>
      </c>
      <c r="AE426" s="1" t="inlineStr">
        <is>
          <t>офсетная</t>
        </is>
      </c>
      <c r="AG426" s="1" t="n">
        <v>11664340</v>
      </c>
      <c r="AI426" s="1" t="inlineStr">
        <is>
          <t>4901990000</t>
        </is>
      </c>
    </row>
    <row r="427" customFormat="1" s="1">
      <c r="C427" s="1" t="inlineStr">
        <is>
          <t xml:space="preserve">11610340            </t>
        </is>
      </c>
      <c r="D427" s="1" t="inlineStr">
        <is>
          <t>Библиотека Лавкрафта</t>
        </is>
      </c>
      <c r="E427" s="1" t="inlineStr">
        <is>
          <t>Огненная Немезида. Блэквуд Э.</t>
        </is>
      </c>
      <c r="F427" s="13" t="inlineStr">
        <is>
          <t>См.обл.</t>
        </is>
      </c>
      <c r="G427" s="1" t="inlineStr">
        <is>
          <t>Блэквуд Э.</t>
        </is>
      </c>
      <c r="H427" s="1" t="inlineStr">
        <is>
          <t>84х108/32</t>
        </is>
      </c>
      <c r="I427" s="1" t="n">
        <v>448</v>
      </c>
      <c r="J427" s="1" t="inlineStr">
        <is>
          <t>РИПОЛ Классик</t>
        </is>
      </c>
      <c r="M427" s="1" t="inlineStr">
        <is>
          <t>2025</t>
        </is>
      </c>
      <c r="N427" s="1" t="inlineStr">
        <is>
          <t>П</t>
        </is>
      </c>
      <c r="O427" s="9" t="n">
        <v>4</v>
      </c>
      <c r="P427" s="1">
        <f>ROUNDUP(1250*(1-$F$3),2)</f>
        <v/>
      </c>
      <c r="Q427" s="1" t="inlineStr">
        <is>
          <t> </t>
        </is>
      </c>
      <c r="R427" s="1" t="inlineStr">
        <is>
          <t>978-5-386-15345-8</t>
        </is>
      </c>
      <c r="S427" s="1" t="inlineStr">
        <is>
          <t>9785386153458</t>
        </is>
      </c>
      <c r="T427" s="9" t="n">
        <v>22</v>
      </c>
      <c r="U427" s="1">
        <f>ROUNDUP(1024.59*(1-$F$3),2)</f>
        <v/>
      </c>
      <c r="V427" s="1" t="n">
        <v>425</v>
      </c>
      <c r="Y427" s="1" t="inlineStr">
        <is>
          <t>Огненная Немезида</t>
        </is>
      </c>
      <c r="Z427" s="1" t="inlineStr">
        <is>
          <t>18+</t>
        </is>
      </c>
      <c r="AA427" s="12" t="n">
        <v>45670</v>
      </c>
      <c r="AB427" s="1" t="inlineStr">
        <is>
          <t>Художественная литература</t>
        </is>
      </c>
      <c r="AC427" s="1" t="inlineStr">
        <is>
          <t>Фантастика. Мистика. Ужасы</t>
        </is>
      </c>
      <c r="AD427" s="1" t="inlineStr">
        <is>
          <t>Мистика. Ужасы</t>
        </is>
      </c>
      <c r="AE427" s="1" t="inlineStr">
        <is>
          <t>офсетная</t>
        </is>
      </c>
      <c r="AG427" s="1" t="n">
        <v>11610340</v>
      </c>
      <c r="AI427" s="1" t="inlineStr">
        <is>
          <t>4901990000</t>
        </is>
      </c>
      <c r="AJ427" s="1" t="inlineStr">
        <is>
          <t>Зпв</t>
        </is>
      </c>
    </row>
    <row r="428" customFormat="1" s="1">
      <c r="C428" s="1" t="inlineStr">
        <is>
          <t xml:space="preserve">11290130            </t>
        </is>
      </c>
      <c r="D428" s="1" t="inlineStr">
        <is>
          <t>Библиотека Лавкрафта</t>
        </is>
      </c>
      <c r="E428" s="1" t="inlineStr">
        <is>
          <t>Октава Клавдия: мистические истории о борьбе за счастье. Пейн Б.</t>
        </is>
      </c>
      <c r="F428" s="13" t="inlineStr">
        <is>
          <t>См.обл.</t>
        </is>
      </c>
      <c r="G428" s="1" t="inlineStr">
        <is>
          <t>Пейн Б.</t>
        </is>
      </c>
      <c r="H428" s="1" t="inlineStr">
        <is>
          <t>84х108/32</t>
        </is>
      </c>
      <c r="I428" s="1" t="n">
        <v>464</v>
      </c>
      <c r="J428" s="1" t="inlineStr">
        <is>
          <t>РИПОЛ Классик</t>
        </is>
      </c>
      <c r="M428" s="1" t="inlineStr">
        <is>
          <t>2024</t>
        </is>
      </c>
      <c r="N428" s="1" t="inlineStr">
        <is>
          <t>П</t>
        </is>
      </c>
      <c r="O428" s="9" t="n">
        <v>8</v>
      </c>
      <c r="P428" s="1">
        <f>ROUNDUP(1120*(1-$F$3),2)</f>
        <v/>
      </c>
      <c r="Q428" s="1" t="inlineStr">
        <is>
          <t> </t>
        </is>
      </c>
      <c r="R428" s="1" t="inlineStr">
        <is>
          <t>978-5-386-15169-0</t>
        </is>
      </c>
      <c r="S428" s="1" t="inlineStr">
        <is>
          <t>9785386151690</t>
        </is>
      </c>
      <c r="T428" s="9" t="n">
        <v>10</v>
      </c>
      <c r="U428" s="1">
        <f>ROUNDUP(1018.18*(1-$F$3),2)</f>
        <v/>
      </c>
      <c r="V428" s="1" t="n">
        <v>376</v>
      </c>
      <c r="Y428" s="1" t="inlineStr">
        <is>
          <t>Октава Клавдия: мистические истории о борьбе за счастье</t>
        </is>
      </c>
      <c r="Z428" s="1" t="inlineStr">
        <is>
          <t>16+</t>
        </is>
      </c>
      <c r="AA428" s="12" t="n">
        <v>45440</v>
      </c>
      <c r="AB428" s="1" t="inlineStr">
        <is>
          <t>Художественная литература</t>
        </is>
      </c>
      <c r="AC428" s="1" t="inlineStr">
        <is>
          <t>Фантастика. Мистика. Ужасы</t>
        </is>
      </c>
      <c r="AD428" s="1" t="inlineStr">
        <is>
          <t>Мистика. Ужасы</t>
        </is>
      </c>
      <c r="AE428" s="1" t="inlineStr">
        <is>
          <t>офсетная</t>
        </is>
      </c>
      <c r="AG428" s="1" t="n">
        <v>11290130</v>
      </c>
      <c r="AI428" s="1" t="inlineStr">
        <is>
          <t>4901990000</t>
        </is>
      </c>
    </row>
    <row r="429" customFormat="1" s="1">
      <c r="C429" s="1" t="inlineStr">
        <is>
          <t xml:space="preserve">10994690            </t>
        </is>
      </c>
      <c r="D429" s="1" t="inlineStr">
        <is>
          <t>Библиотека Лавкрафта</t>
        </is>
      </c>
      <c r="E429" s="1" t="inlineStr">
        <is>
          <t>Песок. Блэквуд Э.</t>
        </is>
      </c>
      <c r="F429" s="13" t="inlineStr">
        <is>
          <t>См.обл.</t>
        </is>
      </c>
      <c r="G429" s="1" t="inlineStr">
        <is>
          <t>Блэквуд Э.</t>
        </is>
      </c>
      <c r="H429" s="1" t="inlineStr">
        <is>
          <t>84х108/32</t>
        </is>
      </c>
      <c r="I429" s="1" t="n">
        <v>400</v>
      </c>
      <c r="J429" s="1" t="inlineStr">
        <is>
          <t>РИПОЛ Классик</t>
        </is>
      </c>
      <c r="M429" s="1" t="inlineStr">
        <is>
          <t>2026</t>
        </is>
      </c>
      <c r="N429" s="1" t="inlineStr">
        <is>
          <t>П</t>
        </is>
      </c>
      <c r="O429" s="9" t="n">
        <v>8</v>
      </c>
      <c r="P429" s="1">
        <f>ROUNDUP(1150*(1-$F$3),2)</f>
        <v/>
      </c>
      <c r="Q429" s="1" t="inlineStr">
        <is>
          <t> </t>
        </is>
      </c>
      <c r="R429" s="1" t="inlineStr">
        <is>
          <t>978-5-386-15072-3</t>
        </is>
      </c>
      <c r="S429" s="1" t="inlineStr">
        <is>
          <t>9785386150723</t>
        </is>
      </c>
      <c r="T429" s="9" t="n">
        <v>10</v>
      </c>
      <c r="U429" s="1">
        <f>ROUNDUP(1045.45*(1-$F$3),2)</f>
        <v/>
      </c>
      <c r="V429" s="1" t="n">
        <v>417</v>
      </c>
      <c r="Y429" s="1" t="inlineStr">
        <is>
          <t>Песок</t>
        </is>
      </c>
      <c r="Z429" s="1" t="inlineStr">
        <is>
          <t>16+</t>
        </is>
      </c>
      <c r="AA429" s="12" t="n">
        <v>45134</v>
      </c>
      <c r="AB429" s="1" t="inlineStr">
        <is>
          <t>Художественная литература</t>
        </is>
      </c>
      <c r="AC429" s="1" t="inlineStr">
        <is>
          <t>Фантастика. Мистика. Ужасы</t>
        </is>
      </c>
      <c r="AD429" s="1" t="inlineStr">
        <is>
          <t>Мистика. Ужасы</t>
        </is>
      </c>
      <c r="AE429" s="1" t="inlineStr">
        <is>
          <t>офсетная</t>
        </is>
      </c>
      <c r="AG429" s="1" t="n">
        <v>10994690</v>
      </c>
      <c r="AI429" s="1" t="inlineStr">
        <is>
          <t>4901990000</t>
        </is>
      </c>
    </row>
    <row r="430" customFormat="1" s="1">
      <c r="C430" s="1" t="inlineStr">
        <is>
          <t xml:space="preserve">11821600            </t>
        </is>
      </c>
      <c r="D430" s="1" t="inlineStr">
        <is>
          <t>Библиотека Лавкрафта</t>
        </is>
      </c>
      <c r="E430" s="1" t="inlineStr">
        <is>
          <t>Пьер, или Двусмысленности. Мелвилл Г.</t>
        </is>
      </c>
      <c r="F430" s="13" t="inlineStr">
        <is>
          <t>См.обл.</t>
        </is>
      </c>
      <c r="G430" s="1" t="inlineStr">
        <is>
          <t>Мелвилл Г.</t>
        </is>
      </c>
      <c r="H430" s="1" t="inlineStr">
        <is>
          <t>84х108/32</t>
        </is>
      </c>
      <c r="I430" s="1" t="n">
        <v>560</v>
      </c>
      <c r="J430" s="1" t="inlineStr">
        <is>
          <t>РИПОЛ Классик</t>
        </is>
      </c>
      <c r="M430" s="1" t="inlineStr">
        <is>
          <t>2025</t>
        </is>
      </c>
      <c r="N430" s="1" t="inlineStr">
        <is>
          <t>П</t>
        </is>
      </c>
      <c r="O430" s="9" t="n">
        <v>5</v>
      </c>
      <c r="P430" s="1">
        <f>ROUNDUP(1560*(1-$F$3),2)</f>
        <v/>
      </c>
      <c r="Q430" s="1" t="inlineStr">
        <is>
          <t> </t>
        </is>
      </c>
      <c r="R430" s="1" t="inlineStr">
        <is>
          <t>978-5-386-15288-8</t>
        </is>
      </c>
      <c r="S430" s="1" t="inlineStr">
        <is>
          <t>9785386152888</t>
        </is>
      </c>
      <c r="T430" s="9" t="n">
        <v>10</v>
      </c>
      <c r="U430" s="1">
        <f>ROUNDUP(1418.18*(1-$F$3),2)</f>
        <v/>
      </c>
      <c r="V430" s="1" t="n">
        <v>573</v>
      </c>
      <c r="Y430" s="1" t="inlineStr">
        <is>
          <t>Пьер, или Двусмысленности</t>
        </is>
      </c>
      <c r="Z430" s="1" t="inlineStr">
        <is>
          <t>16+</t>
        </is>
      </c>
      <c r="AA430" s="12" t="n">
        <v>45867</v>
      </c>
      <c r="AB430" s="1" t="inlineStr">
        <is>
          <t>Художественная литература</t>
        </is>
      </c>
      <c r="AC430" s="1" t="inlineStr">
        <is>
          <t>Зарубежная литература</t>
        </is>
      </c>
      <c r="AD430" s="1" t="inlineStr">
        <is>
          <t>Литература Америки и Австралии</t>
        </is>
      </c>
      <c r="AE430" s="1" t="inlineStr">
        <is>
          <t>офсетная</t>
        </is>
      </c>
      <c r="AG430" s="1" t="n">
        <v>11821600</v>
      </c>
      <c r="AI430" s="1" t="inlineStr">
        <is>
          <t>4901990000</t>
        </is>
      </c>
    </row>
    <row r="431" customFormat="1" s="1">
      <c r="C431" s="1" t="inlineStr">
        <is>
          <t xml:space="preserve">10994710            </t>
        </is>
      </c>
      <c r="D431" s="1" t="inlineStr">
        <is>
          <t>Библиотека Лавкрафта</t>
        </is>
      </c>
      <c r="E431" s="1" t="inlineStr">
        <is>
          <t>Сияющая пирамида. Мейчен А.</t>
        </is>
      </c>
      <c r="F431" s="13" t="inlineStr">
        <is>
          <t>См.обл.</t>
        </is>
      </c>
      <c r="G431" s="1" t="inlineStr">
        <is>
          <t>Мейчен А.</t>
        </is>
      </c>
      <c r="H431" s="1" t="inlineStr">
        <is>
          <t>84х108/32</t>
        </is>
      </c>
      <c r="I431" s="1" t="n">
        <v>400</v>
      </c>
      <c r="J431" s="1" t="inlineStr">
        <is>
          <t>РИПОЛ Классик</t>
        </is>
      </c>
      <c r="M431" s="1" t="inlineStr">
        <is>
          <t>2023</t>
        </is>
      </c>
      <c r="N431" s="1" t="inlineStr">
        <is>
          <t>П</t>
        </is>
      </c>
      <c r="O431" s="9" t="n">
        <v>8</v>
      </c>
      <c r="P431" s="1">
        <f>ROUNDUP(1020*(1-$F$3),2)</f>
        <v/>
      </c>
      <c r="Q431" s="1" t="inlineStr">
        <is>
          <t> </t>
        </is>
      </c>
      <c r="R431" s="1" t="inlineStr">
        <is>
          <t>978-5-386-15039-6</t>
        </is>
      </c>
      <c r="S431" s="1" t="inlineStr">
        <is>
          <t>9785386150396</t>
        </is>
      </c>
      <c r="T431" s="9" t="n">
        <v>10</v>
      </c>
      <c r="U431" s="1">
        <f>ROUNDUP(927.27*(1-$F$3),2)</f>
        <v/>
      </c>
      <c r="V431" s="1" t="n">
        <v>414</v>
      </c>
      <c r="Y431" s="1" t="inlineStr">
        <is>
          <t>Сияющая пирамида</t>
        </is>
      </c>
      <c r="Z431" s="1" t="inlineStr">
        <is>
          <t>16+</t>
        </is>
      </c>
      <c r="AA431" s="12" t="n">
        <v>45134</v>
      </c>
      <c r="AB431" s="1" t="inlineStr">
        <is>
          <t>Художественная литература</t>
        </is>
      </c>
      <c r="AC431" s="1" t="inlineStr">
        <is>
          <t>Фантастика. Мистика. Ужасы</t>
        </is>
      </c>
      <c r="AD431" s="1" t="inlineStr">
        <is>
          <t>Мистика. Ужасы</t>
        </is>
      </c>
      <c r="AE431" s="1" t="inlineStr">
        <is>
          <t>офсетная</t>
        </is>
      </c>
      <c r="AG431" s="1" t="n">
        <v>10994710</v>
      </c>
      <c r="AI431" s="1" t="inlineStr">
        <is>
          <t>4901990000</t>
        </is>
      </c>
    </row>
    <row r="432" customFormat="1" s="1">
      <c r="C432" s="1" t="inlineStr">
        <is>
          <t xml:space="preserve">11476240            </t>
        </is>
      </c>
      <c r="D432" s="1" t="inlineStr">
        <is>
          <t>Библиотека Лавкрафта</t>
        </is>
      </c>
      <c r="E432" s="1" t="inlineStr">
        <is>
          <t>Сквозь тусклое стекло. Ле Фаню Дж.Ш.</t>
        </is>
      </c>
      <c r="F432" s="13" t="inlineStr">
        <is>
          <t>См.обл.</t>
        </is>
      </c>
      <c r="G432" s="1" t="inlineStr">
        <is>
          <t>Ле Фаню Дж.Ш.</t>
        </is>
      </c>
      <c r="H432" s="1" t="inlineStr">
        <is>
          <t>84х108/32</t>
        </is>
      </c>
      <c r="I432" s="1" t="n">
        <v>400</v>
      </c>
      <c r="J432" s="1" t="inlineStr">
        <is>
          <t>РИПОЛ Классик</t>
        </is>
      </c>
      <c r="M432" s="1" t="inlineStr">
        <is>
          <t>2025</t>
        </is>
      </c>
      <c r="N432" s="1" t="inlineStr">
        <is>
          <t>П</t>
        </is>
      </c>
      <c r="O432" s="9" t="n">
        <v>6</v>
      </c>
      <c r="P432" s="1">
        <f>ROUNDUP(1370*(1-$F$3),2)</f>
        <v/>
      </c>
      <c r="Q432" s="1" t="inlineStr">
        <is>
          <t> </t>
        </is>
      </c>
      <c r="R432" s="1" t="inlineStr">
        <is>
          <t>978-5-386-15245-1</t>
        </is>
      </c>
      <c r="S432" s="1" t="inlineStr">
        <is>
          <t>9785386152451</t>
        </is>
      </c>
      <c r="T432" s="9" t="n">
        <v>10</v>
      </c>
      <c r="U432" s="1">
        <f>ROUNDUP(1245.45*(1-$F$3),2)</f>
        <v/>
      </c>
      <c r="V432" s="1" t="n">
        <v>436</v>
      </c>
      <c r="Y432" s="1" t="inlineStr">
        <is>
          <t>Сквозь тусклое стекло</t>
        </is>
      </c>
      <c r="Z432" s="1" t="inlineStr">
        <is>
          <t>16+</t>
        </is>
      </c>
      <c r="AA432" s="12" t="n">
        <v>45561</v>
      </c>
      <c r="AB432" s="1" t="inlineStr">
        <is>
          <t>Художественная литература</t>
        </is>
      </c>
      <c r="AC432" s="1" t="inlineStr">
        <is>
          <t>Фантастика. Мистика. Ужасы</t>
        </is>
      </c>
      <c r="AD432" s="1" t="inlineStr">
        <is>
          <t>Мистика. Ужасы</t>
        </is>
      </c>
      <c r="AE432" s="1" t="inlineStr">
        <is>
          <t>офсетная</t>
        </is>
      </c>
      <c r="AG432" s="1" t="n">
        <v>11476240</v>
      </c>
      <c r="AI432" s="1" t="inlineStr">
        <is>
          <t>4901990000</t>
        </is>
      </c>
    </row>
    <row r="433" customFormat="1" s="1">
      <c r="C433" s="1" t="inlineStr">
        <is>
          <t xml:space="preserve">10535500            </t>
        </is>
      </c>
      <c r="D433" s="1" t="inlineStr">
        <is>
          <t>Библиотека Лавкрафта</t>
        </is>
      </c>
      <c r="E433" s="1" t="inlineStr">
        <is>
          <t>Скорбь Сатаны. Корелли М</t>
        </is>
      </c>
      <c r="F433" s="13" t="inlineStr">
        <is>
          <t>См.обл.</t>
        </is>
      </c>
      <c r="G433" s="1" t="inlineStr">
        <is>
          <t>Корелли М</t>
        </is>
      </c>
      <c r="H433" s="1" t="inlineStr">
        <is>
          <t>84х108/32</t>
        </is>
      </c>
      <c r="I433" s="1" t="n">
        <v>544</v>
      </c>
      <c r="J433" s="1" t="inlineStr">
        <is>
          <t>РИПОЛ Классик</t>
        </is>
      </c>
      <c r="M433" s="1" t="inlineStr">
        <is>
          <t>2025</t>
        </is>
      </c>
      <c r="N433" s="1" t="inlineStr">
        <is>
          <t>П</t>
        </is>
      </c>
      <c r="O433" s="9" t="n">
        <v>8</v>
      </c>
      <c r="P433" s="1">
        <f>ROUNDUP(1040*(1-$F$3),2)</f>
        <v/>
      </c>
      <c r="Q433" s="1" t="inlineStr">
        <is>
          <t> </t>
        </is>
      </c>
      <c r="R433" s="1" t="inlineStr">
        <is>
          <t>978-5-386-14874-4</t>
        </is>
      </c>
      <c r="S433" s="1" t="inlineStr">
        <is>
          <t>9785386148744</t>
        </is>
      </c>
      <c r="T433" s="9" t="n">
        <v>10</v>
      </c>
      <c r="U433" s="1">
        <f>ROUNDUP(945.45*(1-$F$3),2)</f>
        <v/>
      </c>
      <c r="V433" s="1" t="n">
        <v>418</v>
      </c>
      <c r="Y433" s="1" t="inlineStr">
        <is>
          <t>Скорбь Сатаны</t>
        </is>
      </c>
      <c r="Z433" s="1" t="inlineStr">
        <is>
          <t>16+</t>
        </is>
      </c>
      <c r="AA433" s="12" t="n">
        <v>44824</v>
      </c>
      <c r="AB433" s="1" t="inlineStr">
        <is>
          <t>Художественная литература</t>
        </is>
      </c>
      <c r="AC433" s="1" t="inlineStr">
        <is>
          <t>Фантастика. Мистика. Ужасы</t>
        </is>
      </c>
      <c r="AD433" s="1" t="inlineStr">
        <is>
          <t>Мистика. Ужасы</t>
        </is>
      </c>
      <c r="AE433" s="1" t="inlineStr">
        <is>
          <t>офсетная</t>
        </is>
      </c>
      <c r="AG433" s="1" t="n">
        <v>10535500</v>
      </c>
      <c r="AI433" s="1" t="inlineStr">
        <is>
          <t>4901990000</t>
        </is>
      </c>
    </row>
    <row r="434" customFormat="1" s="1">
      <c r="C434" s="1" t="inlineStr">
        <is>
          <t xml:space="preserve">11067720            </t>
        </is>
      </c>
      <c r="D434" s="1" t="inlineStr">
        <is>
          <t>Библиотека Лавкрафта</t>
        </is>
      </c>
      <c r="E434" s="1" t="inlineStr">
        <is>
          <t>Смятение. Мейчен А.</t>
        </is>
      </c>
      <c r="F434" s="13" t="inlineStr">
        <is>
          <t>См.обл.</t>
        </is>
      </c>
      <c r="G434" s="1" t="inlineStr">
        <is>
          <t>Мейчен А.</t>
        </is>
      </c>
      <c r="H434" s="1" t="inlineStr">
        <is>
          <t>84х108/32</t>
        </is>
      </c>
      <c r="I434" s="1" t="n">
        <v>528</v>
      </c>
      <c r="J434" s="1" t="inlineStr">
        <is>
          <t>РИПОЛ Классик</t>
        </is>
      </c>
      <c r="M434" s="1" t="inlineStr">
        <is>
          <t>2023</t>
        </is>
      </c>
      <c r="N434" s="1" t="inlineStr">
        <is>
          <t>П</t>
        </is>
      </c>
      <c r="O434" s="9" t="n">
        <v>6</v>
      </c>
      <c r="P434" s="1">
        <f>ROUNDUP(1680*(1-$F$3),2)</f>
        <v/>
      </c>
      <c r="Q434" s="1" t="inlineStr">
        <is>
          <t> </t>
        </is>
      </c>
      <c r="R434" s="1" t="inlineStr">
        <is>
          <t>978-5-386-15098-3</t>
        </is>
      </c>
      <c r="S434" s="1" t="inlineStr">
        <is>
          <t>9785386150983</t>
        </is>
      </c>
      <c r="T434" s="9" t="n">
        <v>10</v>
      </c>
      <c r="U434" s="1">
        <f>ROUNDUP(1527.27*(1-$F$3),2)</f>
        <v/>
      </c>
      <c r="V434" s="1" t="n">
        <v>507</v>
      </c>
      <c r="Y434" s="1" t="inlineStr">
        <is>
          <t>Смятение</t>
        </is>
      </c>
      <c r="Z434" s="1" t="inlineStr">
        <is>
          <t>16+</t>
        </is>
      </c>
      <c r="AA434" s="12" t="n">
        <v>45195</v>
      </c>
      <c r="AB434" s="1" t="inlineStr">
        <is>
          <t>Художественная литература</t>
        </is>
      </c>
      <c r="AC434" s="1" t="inlineStr">
        <is>
          <t>Фантастика. Мистика. Ужасы</t>
        </is>
      </c>
      <c r="AD434" s="1" t="inlineStr">
        <is>
          <t>Зарубежная фантастика</t>
        </is>
      </c>
      <c r="AE434" s="1" t="inlineStr">
        <is>
          <t>офсетная</t>
        </is>
      </c>
      <c r="AG434" s="1" t="n">
        <v>11067720</v>
      </c>
      <c r="AI434" s="1" t="inlineStr">
        <is>
          <t>4901990000</t>
        </is>
      </c>
    </row>
    <row r="435" customFormat="1" s="1">
      <c r="C435" s="1" t="inlineStr">
        <is>
          <t>11664050</t>
        </is>
      </c>
      <c r="D435" s="1" t="inlineStr">
        <is>
          <t>Библиотека Лавкрафта</t>
        </is>
      </c>
      <c r="E435" s="1" t="inlineStr">
        <is>
          <t>Смятение; Сквозь тусклое стекло; Огненная Немезида (комплект из 3-х книг). Ле Фаню Дж.Ш., Блэквуд Э., Мейчен А.</t>
        </is>
      </c>
      <c r="F435" s="13" t="inlineStr">
        <is>
          <t>См.обл.</t>
        </is>
      </c>
      <c r="G435" s="1" t="inlineStr">
        <is>
          <t>Ле Фаню Дж.Ш., Блэквуд Э., Мейчен А.</t>
        </is>
      </c>
      <c r="H435" s="1" t="inlineStr">
        <is>
          <t>84х108/32</t>
        </is>
      </c>
      <c r="I435" s="1" t="n">
        <v>1376</v>
      </c>
      <c r="J435" s="1" t="inlineStr">
        <is>
          <t>РИПОЛ Классик</t>
        </is>
      </c>
      <c r="M435" s="1" t="inlineStr">
        <is>
          <t>2025</t>
        </is>
      </c>
      <c r="N435" s="1" t="inlineStr">
        <is>
          <t>П</t>
        </is>
      </c>
      <c r="O435" s="9" t="n"/>
      <c r="P435" s="1">
        <f>ROUNDUP(3870*(1-$F$3),2)</f>
        <v/>
      </c>
      <c r="Q435" s="1" t="inlineStr">
        <is>
          <t> </t>
        </is>
      </c>
      <c r="R435" s="1" t="inlineStr">
        <is>
          <t>978-5-521-84478-4</t>
        </is>
      </c>
      <c r="S435" s="1" t="inlineStr">
        <is>
          <t>9785521844784</t>
        </is>
      </c>
      <c r="T435" s="9" t="n">
        <v>22</v>
      </c>
      <c r="U435" s="1">
        <f>ROUNDUP(3172.13*(1-$F$3),2)</f>
        <v/>
      </c>
      <c r="V435" s="1" t="n">
        <v>1368</v>
      </c>
      <c r="Y435" s="1" t="inlineStr">
        <is>
          <t>Смятение; Сквозь тусклое стекло; Огненная Немезида (комплект из 3-х книг)</t>
        </is>
      </c>
      <c r="Z435" s="1" t="inlineStr">
        <is>
          <t>18+</t>
        </is>
      </c>
      <c r="AA435" s="12" t="n">
        <v>45706</v>
      </c>
      <c r="AB435" s="1" t="inlineStr">
        <is>
          <t>Художественная литература</t>
        </is>
      </c>
      <c r="AC435" s="1" t="inlineStr">
        <is>
          <t>Фантастика. Мистика. Ужасы</t>
        </is>
      </c>
      <c r="AD435" s="1" t="inlineStr">
        <is>
          <t>Мистика. Ужасы</t>
        </is>
      </c>
      <c r="AE435" s="1" t="inlineStr">
        <is>
          <t>офсетная</t>
        </is>
      </c>
      <c r="AG435" s="1" t="n">
        <v>11664050</v>
      </c>
      <c r="AI435" s="1" t="inlineStr">
        <is>
          <t>4901990000</t>
        </is>
      </c>
    </row>
    <row r="436" customFormat="1" s="1">
      <c r="C436" s="1" t="inlineStr">
        <is>
          <t xml:space="preserve">10488810            </t>
        </is>
      </c>
      <c r="D436" s="1" t="inlineStr">
        <is>
          <t>Библиотека Лавкрафта</t>
        </is>
      </c>
      <c r="E436" s="1" t="inlineStr">
        <is>
          <t>Стенающий колодец. Джеймс М.Р.</t>
        </is>
      </c>
      <c r="F436" s="13" t="inlineStr">
        <is>
          <t>См.обл.</t>
        </is>
      </c>
      <c r="G436" s="1" t="inlineStr">
        <is>
          <t>Джеймс М.Р.</t>
        </is>
      </c>
      <c r="H436" s="1" t="inlineStr">
        <is>
          <t>84х108/32</t>
        </is>
      </c>
      <c r="I436" s="1" t="n">
        <v>304</v>
      </c>
      <c r="J436" s="1" t="inlineStr">
        <is>
          <t>РИПОЛ Классик</t>
        </is>
      </c>
      <c r="M436" s="1" t="inlineStr">
        <is>
          <t>2025</t>
        </is>
      </c>
      <c r="N436" s="1" t="inlineStr">
        <is>
          <t>П</t>
        </is>
      </c>
      <c r="O436" s="9" t="n">
        <v>5</v>
      </c>
      <c r="P436" s="1">
        <f>ROUNDUP(1270*(1-$F$3),2)</f>
        <v/>
      </c>
      <c r="Q436" s="1" t="inlineStr">
        <is>
          <t> </t>
        </is>
      </c>
      <c r="R436" s="1" t="inlineStr">
        <is>
          <t>978-5-386-14682-5</t>
        </is>
      </c>
      <c r="S436" s="1" t="inlineStr">
        <is>
          <t>9785386146825</t>
        </is>
      </c>
      <c r="T436" s="9" t="n">
        <v>10</v>
      </c>
      <c r="U436" s="1">
        <f>ROUNDUP(1154.55*(1-$F$3),2)</f>
        <v/>
      </c>
      <c r="V436" s="1" t="n">
        <v>316</v>
      </c>
      <c r="Y436" s="1" t="inlineStr">
        <is>
          <t>Стенающий колодец</t>
        </is>
      </c>
      <c r="Z436" s="1" t="inlineStr">
        <is>
          <t>16+</t>
        </is>
      </c>
      <c r="AA436" s="12" t="n">
        <v>44727</v>
      </c>
      <c r="AB436" s="1" t="inlineStr">
        <is>
          <t>Художественная литература</t>
        </is>
      </c>
      <c r="AC436" s="1" t="inlineStr">
        <is>
          <t>Фантастика. Мистика. Ужасы</t>
        </is>
      </c>
      <c r="AD436" s="1" t="inlineStr">
        <is>
          <t>Мистика. Ужасы</t>
        </is>
      </c>
      <c r="AE436" s="1" t="inlineStr">
        <is>
          <t>офсетная</t>
        </is>
      </c>
      <c r="AG436" s="1" t="n">
        <v>10488810</v>
      </c>
      <c r="AI436" s="1" t="inlineStr">
        <is>
          <t>4901990000</t>
        </is>
      </c>
    </row>
    <row r="437" customFormat="1" s="1">
      <c r="C437" s="1" t="inlineStr">
        <is>
          <t>11664160</t>
        </is>
      </c>
      <c r="D437" s="1" t="inlineStr">
        <is>
          <t>Библиотека Лавкрафта</t>
        </is>
      </c>
      <c r="E437" s="1" t="inlineStr">
        <is>
          <t>Стенающий колодец; Книги Судей; Недобрый гость (комплект из 3-х книг). Джеймс М.Р., Ле Фаню Дж.Ш., Бенсон Э.Ф.</t>
        </is>
      </c>
      <c r="F437" s="13" t="inlineStr">
        <is>
          <t>См.обл.</t>
        </is>
      </c>
      <c r="G437" s="1" t="inlineStr">
        <is>
          <t>Джеймс М.Р., Ле Фаню Дж.Ш., Бенсон Э.Ф.</t>
        </is>
      </c>
      <c r="H437" s="1" t="inlineStr">
        <is>
          <t>84х108/32</t>
        </is>
      </c>
      <c r="I437" s="1" t="n">
        <v>850</v>
      </c>
      <c r="J437" s="1" t="inlineStr">
        <is>
          <t>РИПОЛ Классик</t>
        </is>
      </c>
      <c r="M437" s="1" t="inlineStr">
        <is>
          <t>2024</t>
        </is>
      </c>
      <c r="N437" s="1" t="inlineStr">
        <is>
          <t>П</t>
        </is>
      </c>
      <c r="O437" s="9" t="n"/>
      <c r="P437" s="1">
        <f>ROUNDUP(3110*(1-$F$3),2)</f>
        <v/>
      </c>
      <c r="Q437" s="1" t="inlineStr">
        <is>
          <t> </t>
        </is>
      </c>
      <c r="R437" s="1" t="inlineStr">
        <is>
          <t>978-5-521-84485-2</t>
        </is>
      </c>
      <c r="S437" s="1" t="inlineStr">
        <is>
          <t>9785521844852</t>
        </is>
      </c>
      <c r="T437" s="9" t="n">
        <v>10</v>
      </c>
      <c r="U437" s="1">
        <f>ROUNDUP(2827.27*(1-$F$3),2)</f>
        <v/>
      </c>
      <c r="V437" s="1" t="n">
        <v>1071</v>
      </c>
      <c r="Y437" s="1" t="inlineStr">
        <is>
          <t>Стенающий колодец; Книги Судей; Недобрый гость (комплект из 3-х книг)</t>
        </is>
      </c>
      <c r="Z437" s="1" t="inlineStr">
        <is>
          <t>16+</t>
        </is>
      </c>
      <c r="AA437" s="12" t="n">
        <v>45706</v>
      </c>
      <c r="AB437" s="1" t="inlineStr">
        <is>
          <t>Художественная литература</t>
        </is>
      </c>
      <c r="AC437" s="1" t="inlineStr">
        <is>
          <t>Фантастика. Мистика. Ужасы</t>
        </is>
      </c>
      <c r="AD437" s="1" t="inlineStr">
        <is>
          <t>Мистика. Ужасы</t>
        </is>
      </c>
      <c r="AE437" s="1" t="inlineStr">
        <is>
          <t>офсетная</t>
        </is>
      </c>
      <c r="AG437" s="1" t="n">
        <v>11664160</v>
      </c>
      <c r="AI437" s="1" t="inlineStr">
        <is>
          <t>4901990000</t>
        </is>
      </c>
    </row>
    <row r="438" customFormat="1" s="1">
      <c r="C438" s="1" t="inlineStr">
        <is>
          <t xml:space="preserve">10994700            </t>
        </is>
      </c>
      <c r="D438" s="1" t="inlineStr">
        <is>
          <t>Библиотека Лавкрафта</t>
        </is>
      </c>
      <c r="E438" s="1" t="inlineStr">
        <is>
          <t>Тайная слава. Мейчен А.</t>
        </is>
      </c>
      <c r="F438" s="13" t="inlineStr">
        <is>
          <t>См.обл.</t>
        </is>
      </c>
      <c r="G438" s="1" t="inlineStr">
        <is>
          <t>Мейчен А.</t>
        </is>
      </c>
      <c r="H438" s="1" t="inlineStr">
        <is>
          <t>84х108/32</t>
        </is>
      </c>
      <c r="I438" s="1" t="n">
        <v>416</v>
      </c>
      <c r="J438" s="1" t="inlineStr">
        <is>
          <t>РИПОЛ Классик</t>
        </is>
      </c>
      <c r="M438" s="1" t="inlineStr">
        <is>
          <t>2023</t>
        </is>
      </c>
      <c r="N438" s="1" t="inlineStr">
        <is>
          <t>П</t>
        </is>
      </c>
      <c r="O438" s="9" t="n">
        <v>8</v>
      </c>
      <c r="P438" s="1">
        <f>ROUNDUP(1280*(1-$F$3),2)</f>
        <v/>
      </c>
      <c r="Q438" s="1" t="inlineStr">
        <is>
          <t> </t>
        </is>
      </c>
      <c r="R438" s="1" t="inlineStr">
        <is>
          <t>978-5-386-15055-6</t>
        </is>
      </c>
      <c r="S438" s="1" t="inlineStr">
        <is>
          <t>9785386150556</t>
        </is>
      </c>
      <c r="T438" s="9" t="n">
        <v>10</v>
      </c>
      <c r="U438" s="1">
        <f>ROUNDUP(1163.64*(1-$F$3),2)</f>
        <v/>
      </c>
      <c r="V438" s="1" t="n">
        <v>427</v>
      </c>
      <c r="Y438" s="1" t="inlineStr">
        <is>
          <t>Тайная слава</t>
        </is>
      </c>
      <c r="Z438" s="1" t="inlineStr">
        <is>
          <t>16+</t>
        </is>
      </c>
      <c r="AA438" s="12" t="n">
        <v>45134</v>
      </c>
      <c r="AB438" s="1" t="inlineStr">
        <is>
          <t>Художественная литература</t>
        </is>
      </c>
      <c r="AC438" s="1" t="inlineStr">
        <is>
          <t>Фантастика. Мистика. Ужасы</t>
        </is>
      </c>
      <c r="AD438" s="1" t="inlineStr">
        <is>
          <t>Мистика. Ужасы</t>
        </is>
      </c>
      <c r="AE438" s="1" t="inlineStr">
        <is>
          <t>офсетная</t>
        </is>
      </c>
      <c r="AG438" s="1" t="n">
        <v>10994700</v>
      </c>
      <c r="AI438" s="1" t="inlineStr">
        <is>
          <t>4901990000</t>
        </is>
      </c>
    </row>
    <row r="439" customFormat="1" s="1">
      <c r="C439" s="1" t="inlineStr">
        <is>
          <t xml:space="preserve">11844280            </t>
        </is>
      </c>
      <c r="D439" s="1" t="inlineStr">
        <is>
          <t>Библиотека Лавкрафта</t>
        </is>
      </c>
      <c r="E439" s="1" t="inlineStr">
        <is>
          <t>Тварь среди водорослей. Ходжсон У.Х.</t>
        </is>
      </c>
      <c r="F439" s="13" t="inlineStr">
        <is>
          <t>См.обл.</t>
        </is>
      </c>
      <c r="G439" s="1" t="inlineStr">
        <is>
          <t>Ходжсон У.Х.</t>
        </is>
      </c>
      <c r="H439" s="1" t="inlineStr">
        <is>
          <t>84х108/32</t>
        </is>
      </c>
      <c r="I439" s="1" t="n">
        <v>480</v>
      </c>
      <c r="J439" s="1" t="inlineStr">
        <is>
          <t>РИПОЛ Классик</t>
        </is>
      </c>
      <c r="M439" s="1" t="inlineStr">
        <is>
          <t>2026</t>
        </is>
      </c>
      <c r="N439" s="1" t="inlineStr">
        <is>
          <t>П</t>
        </is>
      </c>
      <c r="O439" s="9" t="n">
        <v>10</v>
      </c>
      <c r="P439" s="1">
        <f>ROUNDUP(1300*(1-$F$3),2)</f>
        <v/>
      </c>
      <c r="Q439" s="1" t="inlineStr">
        <is>
          <t> </t>
        </is>
      </c>
      <c r="R439" s="1" t="inlineStr">
        <is>
          <t>978-5-386-15433-2</t>
        </is>
      </c>
      <c r="S439" s="1" t="inlineStr">
        <is>
          <t>9785386154332</t>
        </is>
      </c>
      <c r="T439" s="9" t="n">
        <v>10</v>
      </c>
      <c r="U439" s="1">
        <f>ROUNDUP(1181.82*(1-$F$3),2)</f>
        <v/>
      </c>
      <c r="V439" s="1" t="n">
        <v>513</v>
      </c>
      <c r="Y439" s="1" t="inlineStr">
        <is>
          <t>Тварь среди водорослей</t>
        </is>
      </c>
      <c r="Z439" s="1" t="inlineStr">
        <is>
          <t>16+</t>
        </is>
      </c>
      <c r="AA439" s="12" t="n">
        <v>45888</v>
      </c>
      <c r="AB439" s="1" t="inlineStr">
        <is>
          <t>Художественная литература</t>
        </is>
      </c>
      <c r="AC439" s="1" t="inlineStr">
        <is>
          <t>Фантастика. Мистика. Ужасы</t>
        </is>
      </c>
      <c r="AD439" s="1" t="inlineStr">
        <is>
          <t>Мистика. Ужасы</t>
        </is>
      </c>
      <c r="AE439" s="1" t="inlineStr">
        <is>
          <t>офсетная</t>
        </is>
      </c>
      <c r="AG439" s="1" t="n">
        <v>11844280</v>
      </c>
      <c r="AI439" s="1" t="inlineStr">
        <is>
          <t>4901990000</t>
        </is>
      </c>
    </row>
    <row r="440" customFormat="1" s="1">
      <c r="C440" s="1" t="inlineStr">
        <is>
          <t xml:space="preserve">11612830            </t>
        </is>
      </c>
      <c r="D440" s="1" t="inlineStr">
        <is>
          <t>Библиотека Лавкрафта</t>
        </is>
      </c>
      <c r="E440" s="1" t="inlineStr">
        <is>
          <t>Франкенштейн, или Современный Прометей. Шелли М.</t>
        </is>
      </c>
      <c r="F440" s="13" t="inlineStr">
        <is>
          <t>См.обл.</t>
        </is>
      </c>
      <c r="G440" s="1" t="inlineStr">
        <is>
          <t>Шелли М.</t>
        </is>
      </c>
      <c r="H440" s="1" t="inlineStr">
        <is>
          <t>84х108/32</t>
        </is>
      </c>
      <c r="I440" s="1" t="n">
        <v>464</v>
      </c>
      <c r="J440" s="1" t="inlineStr">
        <is>
          <t>РИПОЛ Классик</t>
        </is>
      </c>
      <c r="M440" s="1" t="inlineStr">
        <is>
          <t>2025</t>
        </is>
      </c>
      <c r="N440" s="1" t="inlineStr">
        <is>
          <t>П</t>
        </is>
      </c>
      <c r="O440" s="9" t="n">
        <v>3</v>
      </c>
      <c r="P440" s="1">
        <f>ROUNDUP(1250*(1-$F$3),2)</f>
        <v/>
      </c>
      <c r="Q440" s="1" t="inlineStr">
        <is>
          <t> </t>
        </is>
      </c>
      <c r="R440" s="1" t="inlineStr">
        <is>
          <t>978-5-386-15291-8</t>
        </is>
      </c>
      <c r="S440" s="1" t="inlineStr">
        <is>
          <t>9785386152918</t>
        </is>
      </c>
      <c r="T440" s="9" t="n">
        <v>10</v>
      </c>
      <c r="U440" s="1">
        <f>ROUNDUP(1136.36*(1-$F$3),2)</f>
        <v/>
      </c>
      <c r="V440" s="1" t="n">
        <v>441</v>
      </c>
      <c r="Y440" s="1" t="inlineStr">
        <is>
          <t>Франкенштейн, или Современный Прометей</t>
        </is>
      </c>
      <c r="Z440" s="1" t="inlineStr">
        <is>
          <t>16+</t>
        </is>
      </c>
      <c r="AA440" s="12" t="n">
        <v>45670</v>
      </c>
      <c r="AB440" s="1" t="inlineStr">
        <is>
          <t>Художественная литература</t>
        </is>
      </c>
      <c r="AC440" s="1" t="inlineStr">
        <is>
          <t>Фантастика. Мистика. Ужасы</t>
        </is>
      </c>
      <c r="AD440" s="1" t="inlineStr">
        <is>
          <t>Мистика. Ужасы</t>
        </is>
      </c>
      <c r="AE440" s="1" t="inlineStr">
        <is>
          <t>офсетная</t>
        </is>
      </c>
      <c r="AG440" s="1" t="n">
        <v>11612830</v>
      </c>
      <c r="AI440" s="1" t="inlineStr">
        <is>
          <t>4901990000</t>
        </is>
      </c>
    </row>
    <row r="441" customFormat="1" s="1">
      <c r="C441" s="1" t="inlineStr">
        <is>
          <t xml:space="preserve">10809410            </t>
        </is>
      </c>
      <c r="D441" s="1" t="inlineStr">
        <is>
          <t>Библиотека Лавкрафта</t>
        </is>
      </c>
      <c r="E441" s="1" t="inlineStr">
        <is>
          <t>Эдгар Хантли, или Мемуары сомнамбулы. Браун Ч.Б</t>
        </is>
      </c>
      <c r="F441" s="13" t="inlineStr">
        <is>
          <t>См.обл.</t>
        </is>
      </c>
      <c r="G441" s="1" t="inlineStr">
        <is>
          <t>Браун Ч.Б.</t>
        </is>
      </c>
      <c r="H441" s="1" t="inlineStr">
        <is>
          <t>84х108/32</t>
        </is>
      </c>
      <c r="I441" s="1" t="n">
        <v>346</v>
      </c>
      <c r="J441" s="1" t="inlineStr">
        <is>
          <t>РИПОЛ Классик</t>
        </is>
      </c>
      <c r="M441" s="1" t="inlineStr">
        <is>
          <t>2023</t>
        </is>
      </c>
      <c r="N441" s="1" t="inlineStr">
        <is>
          <t>П</t>
        </is>
      </c>
      <c r="O441" s="9" t="n">
        <v>12</v>
      </c>
      <c r="P441" s="1">
        <f>ROUNDUP(1260*(1-$F$3),2)</f>
        <v/>
      </c>
      <c r="Q441" s="1" t="inlineStr">
        <is>
          <t> </t>
        </is>
      </c>
      <c r="R441" s="1" t="inlineStr">
        <is>
          <t>978-5-386-14984-0</t>
        </is>
      </c>
      <c r="S441" s="1" t="inlineStr">
        <is>
          <t>9785386149840</t>
        </is>
      </c>
      <c r="T441" s="9" t="n">
        <v>10</v>
      </c>
      <c r="U441" s="1">
        <f>ROUNDUP(1145.45*(1-$F$3),2)</f>
        <v/>
      </c>
      <c r="V441" s="1" t="n">
        <v>386</v>
      </c>
      <c r="Y441" s="1" t="inlineStr">
        <is>
          <t>Эдгар Хантли, или Мемуары сомнамбулы</t>
        </is>
      </c>
      <c r="Z441" s="1" t="inlineStr">
        <is>
          <t>16+</t>
        </is>
      </c>
      <c r="AA441" s="12" t="n">
        <v>44978</v>
      </c>
      <c r="AB441" s="1" t="inlineStr">
        <is>
          <t>Художественная литература</t>
        </is>
      </c>
      <c r="AC441" s="1" t="inlineStr">
        <is>
          <t>Фантастика. Мистика. Ужасы</t>
        </is>
      </c>
      <c r="AD441" s="1" t="inlineStr">
        <is>
          <t>Мистика. Ужасы</t>
        </is>
      </c>
      <c r="AE441" s="1" t="inlineStr">
        <is>
          <t>офсетная</t>
        </is>
      </c>
      <c r="AG441" s="1" t="n">
        <v>10809410</v>
      </c>
      <c r="AI441" s="1" t="inlineStr">
        <is>
          <t>4901990000</t>
        </is>
      </c>
    </row>
    <row r="442" customFormat="1" s="1">
      <c r="C442" s="1" t="inlineStr">
        <is>
          <t xml:space="preserve">9776030             </t>
        </is>
      </c>
      <c r="D442" s="1" t="inlineStr">
        <is>
          <t>Библиотека приключенческого романа</t>
        </is>
      </c>
      <c r="E442" s="1" t="inlineStr">
        <is>
          <t>Во власти стихий. Кн. 2: Чужие земли. Васкес-Фигероа А.</t>
        </is>
      </c>
      <c r="F442" s="13" t="inlineStr">
        <is>
          <t>См.обл.</t>
        </is>
      </c>
      <c r="G442" s="1" t="inlineStr">
        <is>
          <t>Васкес-Фигероа А.</t>
        </is>
      </c>
      <c r="H442" s="1" t="inlineStr">
        <is>
          <t>84х108/32</t>
        </is>
      </c>
      <c r="I442" s="1" t="n">
        <v>400</v>
      </c>
      <c r="J442" s="1" t="inlineStr">
        <is>
          <t>РИПОЛ Классик</t>
        </is>
      </c>
      <c r="M442" s="1" t="inlineStr">
        <is>
          <t>2021</t>
        </is>
      </c>
      <c r="N442" s="1" t="inlineStr">
        <is>
          <t>П</t>
        </is>
      </c>
      <c r="O442" s="9" t="n">
        <v>8</v>
      </c>
      <c r="P442" s="1">
        <f>ROUNDUP(1100*(1-$F$3),2)</f>
        <v/>
      </c>
      <c r="Q442" s="1" t="inlineStr">
        <is>
          <t> </t>
        </is>
      </c>
      <c r="R442" s="1" t="inlineStr">
        <is>
          <t>978-5-386-14386-2</t>
        </is>
      </c>
      <c r="S442" s="1" t="inlineStr">
        <is>
          <t>9785386143862</t>
        </is>
      </c>
      <c r="T442" s="9" t="n">
        <v>10</v>
      </c>
      <c r="U442" s="1">
        <f>ROUNDUP(1000*(1-$F$3),2)</f>
        <v/>
      </c>
      <c r="V442" s="1" t="n">
        <v>437</v>
      </c>
      <c r="Y442" s="1" t="inlineStr">
        <is>
          <t>Во власти стихий. Кн. 2: Чужие земли</t>
        </is>
      </c>
      <c r="Z442" s="1" t="inlineStr">
        <is>
          <t>18+</t>
        </is>
      </c>
      <c r="AA442" s="12" t="n">
        <v>44417</v>
      </c>
      <c r="AB442" s="1" t="inlineStr">
        <is>
          <t>Художественная литература</t>
        </is>
      </c>
      <c r="AC442" s="1" t="inlineStr">
        <is>
          <t>Приключенческая проза</t>
        </is>
      </c>
      <c r="AD442" s="1" t="inlineStr">
        <is>
          <t>Зарубежная приключенческая проза</t>
        </is>
      </c>
      <c r="AE442" s="1" t="inlineStr">
        <is>
          <t>офсетная</t>
        </is>
      </c>
      <c r="AG442" s="1" t="n">
        <v>9776030</v>
      </c>
      <c r="AI442" s="1" t="inlineStr">
        <is>
          <t>4901990000</t>
        </is>
      </c>
      <c r="AJ442" s="1" t="inlineStr">
        <is>
          <t>Зпв</t>
        </is>
      </c>
    </row>
    <row r="443" customFormat="1" s="1">
      <c r="C443" s="1" t="inlineStr">
        <is>
          <t xml:space="preserve">9603660             </t>
        </is>
      </c>
      <c r="D443" s="1" t="inlineStr">
        <is>
          <t>Библиотека приключенческого романа</t>
        </is>
      </c>
      <c r="E443" s="1" t="inlineStr">
        <is>
          <t>Гароэ. Остров новых надежд. Васкес-Фигероа А.</t>
        </is>
      </c>
      <c r="F443" s="13" t="inlineStr">
        <is>
          <t>См.обл.</t>
        </is>
      </c>
      <c r="G443" s="1" t="inlineStr">
        <is>
          <t>Васкес-Фигероа А.</t>
        </is>
      </c>
      <c r="H443" s="1" t="inlineStr">
        <is>
          <t>84х108/32</t>
        </is>
      </c>
      <c r="I443" s="1" t="n">
        <v>320</v>
      </c>
      <c r="J443" s="1" t="inlineStr">
        <is>
          <t>РИПОЛ Классик</t>
        </is>
      </c>
      <c r="M443" s="1" t="inlineStr">
        <is>
          <t>2021</t>
        </is>
      </c>
      <c r="N443" s="1" t="inlineStr">
        <is>
          <t>П</t>
        </is>
      </c>
      <c r="O443" s="9" t="n">
        <v>12</v>
      </c>
      <c r="P443" s="1">
        <f>ROUNDUP(1020*(1-$F$3),2)</f>
        <v/>
      </c>
      <c r="Q443" s="1" t="inlineStr">
        <is>
          <t> </t>
        </is>
      </c>
      <c r="R443" s="1" t="inlineStr">
        <is>
          <t>978-5-386-13919-3</t>
        </is>
      </c>
      <c r="S443" s="1" t="inlineStr">
        <is>
          <t>9785386139193</t>
        </is>
      </c>
      <c r="T443" s="9" t="n">
        <v>10</v>
      </c>
      <c r="U443" s="1">
        <f>ROUNDUP(927.27*(1-$F$3),2)</f>
        <v/>
      </c>
      <c r="V443" s="1" t="n">
        <v>356</v>
      </c>
      <c r="Y443" s="1" t="inlineStr">
        <is>
          <t>Гароэ. Остров новых надежд</t>
        </is>
      </c>
      <c r="Z443" s="1" t="inlineStr">
        <is>
          <t>16+</t>
        </is>
      </c>
      <c r="AA443" s="12" t="n">
        <v>44230</v>
      </c>
      <c r="AB443" s="1" t="inlineStr">
        <is>
          <t>Художественная литература</t>
        </is>
      </c>
      <c r="AC443" s="1" t="inlineStr">
        <is>
          <t>Приключенческая проза</t>
        </is>
      </c>
      <c r="AD443" s="1" t="inlineStr">
        <is>
          <t>Зарубежная приключенческая проза</t>
        </is>
      </c>
      <c r="AE443" s="1" t="inlineStr">
        <is>
          <t>офсетная</t>
        </is>
      </c>
      <c r="AG443" s="1" t="n">
        <v>9603660</v>
      </c>
      <c r="AI443" s="1" t="inlineStr">
        <is>
          <t>4901990000</t>
        </is>
      </c>
    </row>
    <row r="444" customFormat="1" s="1">
      <c r="C444" s="1" t="inlineStr">
        <is>
          <t xml:space="preserve">9847360             </t>
        </is>
      </c>
      <c r="D444" s="1" t="inlineStr">
        <is>
          <t>Библиотека приключенческого романа</t>
        </is>
      </c>
      <c r="E444" s="1" t="inlineStr">
        <is>
          <t>Испанец. Священные земли Инков. Васкес-Фигероа А.</t>
        </is>
      </c>
      <c r="F444" s="13" t="inlineStr">
        <is>
          <t>См.обл.</t>
        </is>
      </c>
      <c r="G444" s="1" t="inlineStr">
        <is>
          <t>Васкес-Фигероа А.</t>
        </is>
      </c>
      <c r="H444" s="1" t="inlineStr">
        <is>
          <t>84х108/32</t>
        </is>
      </c>
      <c r="I444" s="1" t="n">
        <v>320</v>
      </c>
      <c r="J444" s="1" t="inlineStr">
        <is>
          <t>РИПОЛ Классик</t>
        </is>
      </c>
      <c r="M444" s="1" t="inlineStr">
        <is>
          <t>2021</t>
        </is>
      </c>
      <c r="N444" s="1" t="inlineStr">
        <is>
          <t>П</t>
        </is>
      </c>
      <c r="O444" s="9" t="n">
        <v>12</v>
      </c>
      <c r="P444" s="1">
        <f>ROUNDUP(1020*(1-$F$3),2)</f>
        <v/>
      </c>
      <c r="Q444" s="1" t="inlineStr">
        <is>
          <t> </t>
        </is>
      </c>
      <c r="R444" s="1" t="inlineStr">
        <is>
          <t>978-5-386-14513-2</t>
        </is>
      </c>
      <c r="S444" s="1" t="inlineStr">
        <is>
          <t>9785386145132</t>
        </is>
      </c>
      <c r="T444" s="9" t="n">
        <v>10</v>
      </c>
      <c r="U444" s="1">
        <f>ROUNDUP(927.27*(1-$F$3),2)</f>
        <v/>
      </c>
      <c r="V444" s="1" t="n">
        <v>364</v>
      </c>
      <c r="Y444" s="1" t="inlineStr">
        <is>
          <t>Испанец. Священные земли Инков</t>
        </is>
      </c>
      <c r="Z444" s="1" t="inlineStr">
        <is>
          <t>16+</t>
        </is>
      </c>
      <c r="AA444" s="12" t="n">
        <v>44493</v>
      </c>
      <c r="AB444" s="1" t="inlineStr">
        <is>
          <t>Художественная литература</t>
        </is>
      </c>
      <c r="AC444" s="1" t="inlineStr">
        <is>
          <t>Приключенческая проза</t>
        </is>
      </c>
      <c r="AD444" s="1" t="inlineStr">
        <is>
          <t>Зарубежная приключенческая проза</t>
        </is>
      </c>
      <c r="AE444" s="1" t="inlineStr">
        <is>
          <t>офсетная</t>
        </is>
      </c>
      <c r="AG444" s="1" t="n">
        <v>9847360</v>
      </c>
      <c r="AI444" s="1" t="inlineStr">
        <is>
          <t>4901990000</t>
        </is>
      </c>
      <c r="AJ444" s="1" t="inlineStr">
        <is>
          <t>Зпв</t>
        </is>
      </c>
    </row>
    <row r="445" customFormat="1" s="1">
      <c r="C445" s="1" t="inlineStr">
        <is>
          <t xml:space="preserve">10033500            </t>
        </is>
      </c>
      <c r="D445" s="1" t="inlineStr">
        <is>
          <t>Библиотека приключенческого романа</t>
        </is>
      </c>
      <c r="E445" s="1" t="inlineStr">
        <is>
          <t>Туарег 2. Васкес-Фигероа А.</t>
        </is>
      </c>
      <c r="F445" s="13" t="inlineStr">
        <is>
          <t>См.обл.</t>
        </is>
      </c>
      <c r="G445" s="1" t="inlineStr">
        <is>
          <t>Васкес-Фигероа А.</t>
        </is>
      </c>
      <c r="H445" s="1" t="inlineStr">
        <is>
          <t>84х108/32</t>
        </is>
      </c>
      <c r="I445" s="1" t="n">
        <v>320</v>
      </c>
      <c r="J445" s="1" t="inlineStr">
        <is>
          <t>РИПОЛ Классик</t>
        </is>
      </c>
      <c r="M445" s="1" t="inlineStr">
        <is>
          <t>2026</t>
        </is>
      </c>
      <c r="N445" s="1" t="inlineStr">
        <is>
          <t>П</t>
        </is>
      </c>
      <c r="O445" s="9" t="n">
        <v>10</v>
      </c>
      <c r="P445" s="1">
        <f>ROUNDUP(1090*(1-$F$3),2)</f>
        <v/>
      </c>
      <c r="Q445" s="1" t="inlineStr">
        <is>
          <t> </t>
        </is>
      </c>
      <c r="R445" s="1" t="inlineStr">
        <is>
          <t>978-5-386-14605-4</t>
        </is>
      </c>
      <c r="S445" s="1" t="inlineStr">
        <is>
          <t>9785386146054</t>
        </is>
      </c>
      <c r="T445" s="9" t="n">
        <v>22</v>
      </c>
      <c r="U445" s="1">
        <f>ROUNDUP(893.44*(1-$F$3),2)</f>
        <v/>
      </c>
      <c r="V445" s="1" t="n">
        <v>295</v>
      </c>
      <c r="Y445" s="1" t="inlineStr">
        <is>
          <t>Туарег 2</t>
        </is>
      </c>
      <c r="Z445" s="1" t="inlineStr">
        <is>
          <t>18+</t>
        </is>
      </c>
      <c r="AA445" s="12" t="n">
        <v>44571</v>
      </c>
      <c r="AB445" s="1" t="inlineStr">
        <is>
          <t>Художественная литература</t>
        </is>
      </c>
      <c r="AC445" s="1" t="inlineStr">
        <is>
          <t>Приключенческая проза</t>
        </is>
      </c>
      <c r="AD445" s="1" t="inlineStr">
        <is>
          <t>Зарубежная приключенческая проза</t>
        </is>
      </c>
      <c r="AE445" s="1" t="inlineStr">
        <is>
          <t>офсетная</t>
        </is>
      </c>
      <c r="AG445" s="1" t="n">
        <v>10033500</v>
      </c>
      <c r="AI445" s="1" t="inlineStr">
        <is>
          <t>4901990000</t>
        </is>
      </c>
    </row>
    <row r="446" customFormat="1" s="1">
      <c r="C446" s="1" t="inlineStr">
        <is>
          <t xml:space="preserve">9554690             </t>
        </is>
      </c>
      <c r="D446" s="1" t="inlineStr">
        <is>
          <t>Библиотека приключенческого романа</t>
        </is>
      </c>
      <c r="E446" s="1" t="inlineStr">
        <is>
          <t>Туарег. Воин пустыни. Васкес-Фигероа А.</t>
        </is>
      </c>
      <c r="F446" s="13" t="inlineStr">
        <is>
          <t>См.обл.</t>
        </is>
      </c>
      <c r="G446" s="1" t="inlineStr">
        <is>
          <t>Васкес-Фигероа А.</t>
        </is>
      </c>
      <c r="H446" s="1" t="inlineStr">
        <is>
          <t>84х108/32</t>
        </is>
      </c>
      <c r="I446" s="1" t="n">
        <v>320</v>
      </c>
      <c r="J446" s="1" t="inlineStr">
        <is>
          <t>РИПОЛ Классик</t>
        </is>
      </c>
      <c r="M446" s="1" t="inlineStr">
        <is>
          <t>2025</t>
        </is>
      </c>
      <c r="N446" s="1" t="inlineStr">
        <is>
          <t>П</t>
        </is>
      </c>
      <c r="O446" s="9" t="n">
        <v>10</v>
      </c>
      <c r="P446" s="1">
        <f>ROUNDUP(1100*(1-$F$3),2)</f>
        <v/>
      </c>
      <c r="Q446" s="1" t="inlineStr">
        <is>
          <t> </t>
        </is>
      </c>
      <c r="R446" s="1" t="inlineStr">
        <is>
          <t>978-5-386-13839-4</t>
        </is>
      </c>
      <c r="S446" s="1" t="inlineStr">
        <is>
          <t>9785386138394</t>
        </is>
      </c>
      <c r="T446" s="9" t="n">
        <v>22</v>
      </c>
      <c r="U446" s="1">
        <f>ROUNDUP(901.64*(1-$F$3),2)</f>
        <v/>
      </c>
      <c r="V446" s="1" t="n">
        <v>358</v>
      </c>
      <c r="Y446" s="1" t="inlineStr">
        <is>
          <t>Туарег. Воин пустыни</t>
        </is>
      </c>
      <c r="Z446" s="1" t="inlineStr">
        <is>
          <t>18+</t>
        </is>
      </c>
      <c r="AA446" s="12" t="n">
        <v>44160</v>
      </c>
      <c r="AB446" s="1" t="inlineStr">
        <is>
          <t>Художественная литература</t>
        </is>
      </c>
      <c r="AC446" s="1" t="inlineStr">
        <is>
          <t>Приключенческая проза</t>
        </is>
      </c>
      <c r="AD446" s="1" t="inlineStr">
        <is>
          <t>Зарубежная приключенческая проза</t>
        </is>
      </c>
      <c r="AE446" s="1" t="inlineStr">
        <is>
          <t>офсетная</t>
        </is>
      </c>
      <c r="AG446" s="1" t="n">
        <v>9554690</v>
      </c>
      <c r="AI446" s="1" t="inlineStr">
        <is>
          <t>4901990000</t>
        </is>
      </c>
    </row>
    <row r="447" customFormat="1" s="1">
      <c r="C447" s="1" t="inlineStr">
        <is>
          <t>12027400</t>
        </is>
      </c>
      <c r="D447" s="1" t="inlineStr">
        <is>
          <t>Библиотека приключенческого романа</t>
        </is>
      </c>
      <c r="E447" s="1" t="inlineStr">
        <is>
          <t>Туарег. Воин пустыни; Туарег 2; Последний Туарег. Кн. 3 (комплект из 3-х книг). Васкес-Фигероа А.</t>
        </is>
      </c>
      <c r="F447" s="13" t="inlineStr">
        <is>
          <t>См.обл.</t>
        </is>
      </c>
      <c r="G447" s="1" t="inlineStr">
        <is>
          <t>Васкес-Фигероа А.</t>
        </is>
      </c>
      <c r="H447" s="1" t="inlineStr">
        <is>
          <t>84х108/32</t>
        </is>
      </c>
      <c r="I447" s="1" t="n">
        <v>928</v>
      </c>
      <c r="J447" s="1" t="inlineStr">
        <is>
          <t>РИПОЛ Классик</t>
        </is>
      </c>
      <c r="M447" s="1" t="inlineStr">
        <is>
          <t>2026</t>
        </is>
      </c>
      <c r="N447" s="1" t="inlineStr">
        <is>
          <t>П</t>
        </is>
      </c>
      <c r="O447" s="9" t="n"/>
      <c r="P447" s="1">
        <f>ROUNDUP(2870*(1-$F$3),2)</f>
        <v/>
      </c>
      <c r="Q447" s="1" t="inlineStr">
        <is>
          <t> </t>
        </is>
      </c>
      <c r="R447" s="1" t="inlineStr">
        <is>
          <t>978-5-8853-8974-7</t>
        </is>
      </c>
      <c r="S447" s="1" t="inlineStr">
        <is>
          <t>9785885389747</t>
        </is>
      </c>
      <c r="T447" s="9" t="n">
        <v>22</v>
      </c>
      <c r="U447" s="1">
        <f>ROUNDUP(2352.46*(1-$F$3),2)</f>
        <v/>
      </c>
      <c r="V447" s="1" t="n">
        <v>1065</v>
      </c>
      <c r="Y447" s="1" t="inlineStr">
        <is>
          <t>Туарег. Воин пустыни; Туарег 2; Последний Туарег. Кн. 3 (комплект из 3-х книг)</t>
        </is>
      </c>
      <c r="Z447" s="1" t="inlineStr">
        <is>
          <t>18+</t>
        </is>
      </c>
      <c r="AA447" s="12" t="n">
        <v>46052</v>
      </c>
      <c r="AB447" s="1" t="inlineStr">
        <is>
          <t>Художественная литература</t>
        </is>
      </c>
      <c r="AC447" s="1" t="inlineStr">
        <is>
          <t>Приключенческая проза</t>
        </is>
      </c>
      <c r="AD447" s="1" t="inlineStr">
        <is>
          <t>Зарубежная приключенческая проза</t>
        </is>
      </c>
      <c r="AE447" s="1" t="inlineStr">
        <is>
          <t>офсетная</t>
        </is>
      </c>
      <c r="AG447" s="1" t="n">
        <v>12027400</v>
      </c>
      <c r="AI447" s="1" t="inlineStr">
        <is>
          <t>4901990000</t>
        </is>
      </c>
      <c r="AJ447" s="1" t="inlineStr">
        <is>
          <t>Зпв</t>
        </is>
      </c>
    </row>
    <row r="448" customFormat="1" s="1">
      <c r="C448" s="1" t="inlineStr">
        <is>
          <t xml:space="preserve">10511990            </t>
        </is>
      </c>
      <c r="D448" s="1" t="inlineStr">
        <is>
          <t>Библиотека приключенческого романа</t>
        </is>
      </c>
      <c r="E448" s="1" t="inlineStr">
        <is>
          <t>Уругуру. Санаев А.</t>
        </is>
      </c>
      <c r="F448" s="13" t="inlineStr">
        <is>
          <t>См.обл.</t>
        </is>
      </c>
      <c r="G448" s="1" t="inlineStr">
        <is>
          <t>Санаев А.</t>
        </is>
      </c>
      <c r="H448" s="1" t="inlineStr">
        <is>
          <t>60х90/16</t>
        </is>
      </c>
      <c r="I448" s="1" t="n">
        <v>320</v>
      </c>
      <c r="J448" s="1" t="inlineStr">
        <is>
          <t>РИПОЛ Классик</t>
        </is>
      </c>
      <c r="M448" s="1" t="inlineStr">
        <is>
          <t>2022</t>
        </is>
      </c>
      <c r="N448" s="1" t="inlineStr">
        <is>
          <t>П</t>
        </is>
      </c>
      <c r="O448" s="9" t="n">
        <v>14</v>
      </c>
      <c r="P448" s="1">
        <f>ROUNDUP(1340*(1-$F$3),2)</f>
        <v/>
      </c>
      <c r="Q448" s="1" t="inlineStr">
        <is>
          <t> </t>
        </is>
      </c>
      <c r="R448" s="1" t="inlineStr">
        <is>
          <t>978-5-386-14825-6</t>
        </is>
      </c>
      <c r="S448" s="1" t="inlineStr">
        <is>
          <t>9785386148256</t>
        </is>
      </c>
      <c r="T448" s="9" t="n">
        <v>10</v>
      </c>
      <c r="U448" s="1">
        <f>ROUNDUP(1218.18*(1-$F$3),2)</f>
        <v/>
      </c>
      <c r="V448" s="1" t="n">
        <v>434</v>
      </c>
      <c r="Y448" s="1" t="inlineStr">
        <is>
          <t>Уругуру</t>
        </is>
      </c>
      <c r="Z448" s="1" t="inlineStr">
        <is>
          <t>16+</t>
        </is>
      </c>
      <c r="AA448" s="12" t="n">
        <v>44749</v>
      </c>
      <c r="AB448" s="1" t="inlineStr">
        <is>
          <t>Художественная литература</t>
        </is>
      </c>
      <c r="AC448" s="1" t="inlineStr">
        <is>
          <t>Приключенческая проза</t>
        </is>
      </c>
      <c r="AD448" s="1" t="inlineStr">
        <is>
          <t>Русская приключенческая проза</t>
        </is>
      </c>
      <c r="AE448" s="1" t="inlineStr">
        <is>
          <t>офсетная</t>
        </is>
      </c>
      <c r="AG448" s="1" t="n">
        <v>10511990</v>
      </c>
      <c r="AI448" s="1" t="inlineStr">
        <is>
          <t>4901990000</t>
        </is>
      </c>
    </row>
    <row r="449" customFormat="1" s="1">
      <c r="C449" s="1" t="inlineStr">
        <is>
          <t xml:space="preserve">8440830             </t>
        </is>
      </c>
      <c r="D449" s="1" t="inlineStr">
        <is>
          <t>Библиотека Экхарта Толле</t>
        </is>
      </c>
      <c r="E449" s="1" t="inlineStr">
        <is>
          <t>Новая земля. Пробуждение к своей жизненной цели. Толле Э.</t>
        </is>
      </c>
      <c r="F449" s="13" t="inlineStr">
        <is>
          <t>См.обл.</t>
        </is>
      </c>
      <c r="G449" s="1" t="inlineStr">
        <is>
          <t>Толле Э.</t>
        </is>
      </c>
      <c r="H449" s="1" t="inlineStr">
        <is>
          <t>84х108/32</t>
        </is>
      </c>
      <c r="I449" s="1" t="n">
        <v>368</v>
      </c>
      <c r="J449" s="1" t="inlineStr">
        <is>
          <t>РИПОЛ Классик</t>
        </is>
      </c>
      <c r="M449" s="1" t="inlineStr">
        <is>
          <t>2025</t>
        </is>
      </c>
      <c r="N449" s="1" t="inlineStr">
        <is>
          <t>П</t>
        </is>
      </c>
      <c r="O449" s="9" t="n">
        <v>12</v>
      </c>
      <c r="P449" s="1">
        <f>ROUNDUP(910*(1-$F$3),2)</f>
        <v/>
      </c>
      <c r="Q449" s="1" t="inlineStr">
        <is>
          <t> </t>
        </is>
      </c>
      <c r="R449" s="1" t="inlineStr">
        <is>
          <t>978-5-386-10279-1</t>
        </is>
      </c>
      <c r="S449" s="1" t="inlineStr">
        <is>
          <t>9785386102791</t>
        </is>
      </c>
      <c r="T449" s="9" t="n">
        <v>22</v>
      </c>
      <c r="U449" s="1">
        <f>ROUNDUP(745.9*(1-$F$3),2)</f>
        <v/>
      </c>
      <c r="V449" s="1" t="n">
        <v>299</v>
      </c>
      <c r="Y449" s="1" t="inlineStr">
        <is>
          <t>Новая земля. Пробуждение к своей жизненной цели</t>
        </is>
      </c>
      <c r="Z449" s="1" t="inlineStr">
        <is>
          <t>12+</t>
        </is>
      </c>
      <c r="AA449" s="12" t="n">
        <v>43097</v>
      </c>
      <c r="AB449" s="1" t="inlineStr">
        <is>
          <t>Религии. Эзотерика. Оккультизм</t>
        </is>
      </c>
      <c r="AC449" s="1" t="inlineStr">
        <is>
          <t>Эзотерика. Парапсихология. Тайны</t>
        </is>
      </c>
      <c r="AD449" s="1" t="inlineStr">
        <is>
          <t>Эзотерические учения. Теософия</t>
        </is>
      </c>
      <c r="AE449" s="1" t="inlineStr">
        <is>
          <t>газетная</t>
        </is>
      </c>
      <c r="AG449" s="1" t="n">
        <v>8440830</v>
      </c>
      <c r="AI449" s="1" t="inlineStr">
        <is>
          <t>4901990000</t>
        </is>
      </c>
    </row>
    <row r="450" customFormat="1" s="1">
      <c r="C450" s="1" t="inlineStr">
        <is>
          <t xml:space="preserve">9239220             </t>
        </is>
      </c>
      <c r="D450" s="1" t="inlineStr">
        <is>
          <t>Библиотека Экхарта Толле</t>
        </is>
      </c>
      <c r="E450" s="1" t="inlineStr">
        <is>
          <t>Новая земля. Пробуждение к своей жизненной цели. Толле Э.</t>
        </is>
      </c>
      <c r="F450" s="13" t="inlineStr">
        <is>
          <t>См.обл.</t>
        </is>
      </c>
      <c r="G450" s="1" t="inlineStr">
        <is>
          <t>Толле Э.</t>
        </is>
      </c>
      <c r="H450" s="1" t="inlineStr">
        <is>
          <t>76х100/32</t>
        </is>
      </c>
      <c r="I450" s="1" t="n">
        <v>368</v>
      </c>
      <c r="J450" s="1" t="inlineStr">
        <is>
          <t>РИПОЛ Классик</t>
        </is>
      </c>
      <c r="M450" s="1" t="inlineStr">
        <is>
          <t>2026</t>
        </is>
      </c>
      <c r="N450" s="1" t="inlineStr">
        <is>
          <t>О</t>
        </is>
      </c>
      <c r="O450" s="9" t="n">
        <v>8</v>
      </c>
      <c r="P450" s="1">
        <f>ROUNDUP(580*(1-$F$3),2)</f>
        <v/>
      </c>
      <c r="Q450" s="1" t="inlineStr">
        <is>
          <t> </t>
        </is>
      </c>
      <c r="R450" s="1" t="inlineStr">
        <is>
          <t>978-5-386-13502-7</t>
        </is>
      </c>
      <c r="S450" s="1" t="inlineStr">
        <is>
          <t>9785386135027</t>
        </is>
      </c>
      <c r="T450" s="9" t="n">
        <v>22</v>
      </c>
      <c r="U450" s="1">
        <f>ROUNDUP(475.41*(1-$F$3),2)</f>
        <v/>
      </c>
      <c r="V450" s="1" t="n">
        <v>177</v>
      </c>
      <c r="Y450" s="1" t="inlineStr">
        <is>
          <t>Новая земля. Пробуждение к своей жизненной цели</t>
        </is>
      </c>
      <c r="Z450" s="1" t="inlineStr">
        <is>
          <t>12+</t>
        </is>
      </c>
      <c r="AA450" s="12" t="n">
        <v>43825</v>
      </c>
      <c r="AB450" s="1" t="inlineStr">
        <is>
          <t>Религии. Эзотерика. Оккультизм</t>
        </is>
      </c>
      <c r="AC450" s="1" t="inlineStr">
        <is>
          <t>Эзотерика. Парапсихология. Тайны</t>
        </is>
      </c>
      <c r="AD450" s="1" t="inlineStr">
        <is>
          <t>Эзотерические учения. Теософия</t>
        </is>
      </c>
      <c r="AE450" s="1" t="inlineStr">
        <is>
          <t>газетная</t>
        </is>
      </c>
      <c r="AG450" s="1" t="n">
        <v>9239220</v>
      </c>
      <c r="AI450" s="1" t="inlineStr">
        <is>
          <t>4901990000</t>
        </is>
      </c>
    </row>
    <row r="451" customFormat="1" s="1">
      <c r="C451" s="1" t="inlineStr">
        <is>
          <t xml:space="preserve">11144230            </t>
        </is>
      </c>
      <c r="D451" s="1" t="inlineStr">
        <is>
          <t>Бизнес литература</t>
        </is>
      </c>
      <c r="E451" s="1" t="inlineStr">
        <is>
          <t>Основы системных решений по модели Черчилля. Медведев Д.Л.</t>
        </is>
      </c>
      <c r="F451" s="13" t="inlineStr">
        <is>
          <t>См.обл.</t>
        </is>
      </c>
      <c r="G451" s="1" t="inlineStr">
        <is>
          <t>Медведев Д.Л.</t>
        </is>
      </c>
      <c r="H451" s="1" t="inlineStr">
        <is>
          <t>70х100/16</t>
        </is>
      </c>
      <c r="I451" s="1" t="n">
        <v>752</v>
      </c>
      <c r="J451" s="1" t="inlineStr">
        <is>
          <t>РИПОЛ Классик</t>
        </is>
      </c>
      <c r="M451" s="1" t="inlineStr">
        <is>
          <t>2024</t>
        </is>
      </c>
      <c r="N451" s="1" t="inlineStr">
        <is>
          <t>П</t>
        </is>
      </c>
      <c r="O451" s="9" t="n">
        <v>4</v>
      </c>
      <c r="P451" s="1">
        <f>ROUNDUP(2460*(1-$F$3),2)</f>
        <v/>
      </c>
      <c r="Q451" s="1" t="inlineStr">
        <is>
          <t> </t>
        </is>
      </c>
      <c r="R451" s="1" t="inlineStr">
        <is>
          <t>978-5-386-14865-2</t>
        </is>
      </c>
      <c r="S451" s="1" t="inlineStr">
        <is>
          <t>9785386148652</t>
        </is>
      </c>
      <c r="T451" s="9" t="n">
        <v>10</v>
      </c>
      <c r="U451" s="1">
        <f>ROUNDUP(2236.36*(1-$F$3),2)</f>
        <v/>
      </c>
      <c r="V451" s="1" t="n">
        <v>831</v>
      </c>
      <c r="Y451" s="1" t="inlineStr">
        <is>
          <t>Основы системных решений по модели Черчилля</t>
        </is>
      </c>
      <c r="Z451" s="1" t="inlineStr">
        <is>
          <t>16+</t>
        </is>
      </c>
      <c r="AA451" s="12" t="n">
        <v>45251</v>
      </c>
      <c r="AB451" s="1" t="inlineStr">
        <is>
          <t>Экономика. Экономические науки</t>
        </is>
      </c>
      <c r="AC451" s="1" t="inlineStr">
        <is>
          <t>Менеджмент</t>
        </is>
      </c>
      <c r="AD451" s="1" t="inlineStr">
        <is>
          <t>Общий менеджмент. Теория управления</t>
        </is>
      </c>
      <c r="AE451" s="1" t="inlineStr">
        <is>
          <t>офсетная</t>
        </is>
      </c>
      <c r="AG451" s="1" t="n">
        <v>11144230</v>
      </c>
      <c r="AI451" s="1" t="inlineStr">
        <is>
          <t>4901990000</t>
        </is>
      </c>
    </row>
    <row r="452" customFormat="1" s="1">
      <c r="C452" s="1" t="inlineStr">
        <is>
          <t xml:space="preserve">12148210            </t>
        </is>
      </c>
      <c r="D452" s="1" t="inlineStr">
        <is>
          <t>Биографика Романа Косыгина</t>
        </is>
      </c>
      <c r="E452" s="1" t="inlineStr">
        <is>
          <t>Князь Андрей Боголюбский. Карпов А.Ю.</t>
        </is>
      </c>
      <c r="F452" s="13" t="inlineStr">
        <is>
          <t>См.обл.</t>
        </is>
      </c>
      <c r="G452" s="1" t="inlineStr">
        <is>
          <t>Карпов А.Ю.</t>
        </is>
      </c>
      <c r="H452" s="1" t="inlineStr">
        <is>
          <t>60х90/16</t>
        </is>
      </c>
      <c r="I452" s="1" t="n">
        <v>528</v>
      </c>
      <c r="J452" s="1" t="inlineStr">
        <is>
          <t>РИПОЛ Классик</t>
        </is>
      </c>
      <c r="M452" s="1" t="inlineStr">
        <is>
          <t>2026</t>
        </is>
      </c>
      <c r="N452" s="1" t="inlineStr">
        <is>
          <t>П</t>
        </is>
      </c>
      <c r="O452" s="9" t="n">
        <v>16</v>
      </c>
      <c r="P452" s="1">
        <f>ROUNDUP(1300*(1-$F$3),2)</f>
        <v/>
      </c>
      <c r="Q452" s="1" t="inlineStr">
        <is>
          <t> </t>
        </is>
      </c>
      <c r="R452" s="1" t="inlineStr">
        <is>
          <t>978-5-386-15628-2</t>
        </is>
      </c>
      <c r="S452" s="1" t="inlineStr">
        <is>
          <t>9785386156282</t>
        </is>
      </c>
      <c r="T452" s="9" t="n">
        <v>10</v>
      </c>
      <c r="U452" s="1">
        <f>ROUNDUP(1181.82*(1-$F$3),2)</f>
        <v/>
      </c>
      <c r="V452" s="1" t="n">
        <v>616</v>
      </c>
      <c r="Y452" s="1" t="inlineStr">
        <is>
          <t>Князь Андрей Боголюбский</t>
        </is>
      </c>
      <c r="Z452" s="1" t="inlineStr">
        <is>
          <t>16+</t>
        </is>
      </c>
      <c r="AA452" s="12" t="n">
        <v>46182</v>
      </c>
      <c r="AB452" s="1" t="inlineStr">
        <is>
          <t>Гуманитарные науки</t>
        </is>
      </c>
      <c r="AC452" s="1" t="inlineStr">
        <is>
          <t>История</t>
        </is>
      </c>
      <c r="AD452" s="1" t="inlineStr">
        <is>
          <t>История России</t>
        </is>
      </c>
      <c r="AE452" s="1" t="inlineStr">
        <is>
          <t>офсетная</t>
        </is>
      </c>
      <c r="AG452" s="1" t="n">
        <v>12148210</v>
      </c>
      <c r="AI452" s="1" t="inlineStr">
        <is>
          <t>4901990000</t>
        </is>
      </c>
    </row>
    <row r="453" customFormat="1" s="1">
      <c r="C453" s="1" t="inlineStr">
        <is>
          <t xml:space="preserve">12168060            </t>
        </is>
      </c>
      <c r="D453" s="1" t="inlineStr">
        <is>
          <t>Биографика Романа Косыгина</t>
        </is>
      </c>
      <c r="E453" s="1" t="inlineStr">
        <is>
          <t>Лев Яшин. Галедин В.И.</t>
        </is>
      </c>
      <c r="F453" s="13" t="inlineStr">
        <is>
          <t>См.обл.</t>
        </is>
      </c>
      <c r="G453" s="1" t="inlineStr">
        <is>
          <t>Галедин В.И.</t>
        </is>
      </c>
      <c r="H453" s="1" t="inlineStr">
        <is>
          <t>60х90/16</t>
        </is>
      </c>
      <c r="I453" s="1" t="n">
        <v>400</v>
      </c>
      <c r="J453" s="1" t="inlineStr">
        <is>
          <t>РИПОЛ Классик</t>
        </is>
      </c>
      <c r="M453" s="1" t="inlineStr">
        <is>
          <t>2026</t>
        </is>
      </c>
      <c r="N453" s="1" t="inlineStr">
        <is>
          <t>П</t>
        </is>
      </c>
      <c r="O453" s="9" t="n">
        <v>6</v>
      </c>
      <c r="P453" s="1">
        <f>ROUNDUP(1350*(1-$F$3),2)</f>
        <v/>
      </c>
      <c r="Q453" s="1" t="inlineStr">
        <is>
          <t> </t>
        </is>
      </c>
      <c r="R453" s="1" t="inlineStr">
        <is>
          <t>978-5-386-15631-2</t>
        </is>
      </c>
      <c r="S453" s="1" t="inlineStr">
        <is>
          <t>9785386156312</t>
        </is>
      </c>
      <c r="T453" s="9" t="n">
        <v>10</v>
      </c>
      <c r="U453" s="1">
        <f>ROUNDUP(1227.27*(1-$F$3),2)</f>
        <v/>
      </c>
      <c r="V453" s="1" t="n">
        <v>569</v>
      </c>
      <c r="Y453" s="1" t="inlineStr">
        <is>
          <t>Лев Яшин</t>
        </is>
      </c>
      <c r="Z453" s="1" t="inlineStr">
        <is>
          <t>16+</t>
        </is>
      </c>
      <c r="AA453" s="12" t="n">
        <v>46189</v>
      </c>
      <c r="AB453" s="1" t="inlineStr">
        <is>
          <t>Художественно-документальная проза</t>
        </is>
      </c>
      <c r="AC453" s="1" t="inlineStr">
        <is>
          <t>Биографии. Мемуары</t>
        </is>
      </c>
      <c r="AD453" s="1" t="inlineStr">
        <is>
          <t>Биографии спортсменов</t>
        </is>
      </c>
      <c r="AE453" s="1" t="inlineStr">
        <is>
          <t>офсетная</t>
        </is>
      </c>
      <c r="AG453" s="1" t="n">
        <v>12168060</v>
      </c>
      <c r="AI453" s="1" t="inlineStr">
        <is>
          <t>4901990000</t>
        </is>
      </c>
    </row>
    <row r="454" customFormat="1" s="1">
      <c r="C454" s="1" t="inlineStr">
        <is>
          <t xml:space="preserve">12218820            </t>
        </is>
      </c>
      <c r="D454" s="1" t="inlineStr">
        <is>
          <t>Биографика Романа Косыгина</t>
        </is>
      </c>
      <c r="E454" s="1" t="inlineStr">
        <is>
          <t>Фидель Кастро. Родина или смерть. Макарычев М.А.</t>
        </is>
      </c>
      <c r="F454" s="13" t="inlineStr">
        <is>
          <t>См.обл.</t>
        </is>
      </c>
      <c r="G454" s="1" t="inlineStr">
        <is>
          <t>Макарычев М.А.</t>
        </is>
      </c>
      <c r="H454" s="1" t="inlineStr">
        <is>
          <t>60х90/16</t>
        </is>
      </c>
      <c r="I454" s="1" t="n">
        <v>416</v>
      </c>
      <c r="J454" s="1" t="inlineStr">
        <is>
          <t>РИПОЛ Классик</t>
        </is>
      </c>
      <c r="M454" s="1" t="inlineStr">
        <is>
          <t>2026</t>
        </is>
      </c>
      <c r="N454" s="1" t="inlineStr">
        <is>
          <t>П</t>
        </is>
      </c>
      <c r="O454" s="9" t="n">
        <v>7</v>
      </c>
      <c r="P454" s="1">
        <f>ROUNDUP(1350*(1-$F$3),2)</f>
        <v/>
      </c>
      <c r="Q454" s="1" t="inlineStr">
        <is>
          <t> </t>
        </is>
      </c>
      <c r="R454" s="1" t="inlineStr">
        <is>
          <t>978-5-386-15649-7</t>
        </is>
      </c>
      <c r="S454" s="1" t="inlineStr">
        <is>
          <t>9785386156497</t>
        </is>
      </c>
      <c r="T454" s="9" t="n">
        <v>10</v>
      </c>
      <c r="U454" s="1">
        <f>ROUNDUP(1227.27*(1-$F$3),2)</f>
        <v/>
      </c>
      <c r="V454" s="1" t="n">
        <v>589</v>
      </c>
      <c r="Y454" s="1" t="inlineStr">
        <is>
          <t>Фидель Кастро. Родина или смерть</t>
        </is>
      </c>
      <c r="Z454" s="1" t="inlineStr">
        <is>
          <t>16+</t>
        </is>
      </c>
      <c r="AA454" s="12" t="n">
        <v>46238</v>
      </c>
      <c r="AB454" s="1" t="inlineStr">
        <is>
          <t>Художественно-документальная проза</t>
        </is>
      </c>
      <c r="AC454" s="1" t="inlineStr">
        <is>
          <t>Биографии. Мемуары</t>
        </is>
      </c>
      <c r="AD454" s="1" t="inlineStr">
        <is>
          <t>Биографии общественных и исторических деятелей</t>
        </is>
      </c>
      <c r="AE454" s="1" t="inlineStr">
        <is>
          <t>офсетная</t>
        </is>
      </c>
      <c r="AG454" s="1" t="n">
        <v>12218820</v>
      </c>
      <c r="AI454" s="1" t="inlineStr">
        <is>
          <t>4901990000</t>
        </is>
      </c>
    </row>
    <row r="455" customFormat="1" s="1">
      <c r="C455" s="1" t="inlineStr">
        <is>
          <t xml:space="preserve">12196380            </t>
        </is>
      </c>
      <c r="D455" s="1" t="inlineStr">
        <is>
          <t>Биографика Романа Косыгина</t>
        </is>
      </c>
      <c r="E455" s="1" t="inlineStr">
        <is>
          <t>Хой. Опасный путь через туман. Богословский Р.С., Клинских И.</t>
        </is>
      </c>
      <c r="F455" s="13" t="inlineStr">
        <is>
          <t>См.обл.</t>
        </is>
      </c>
      <c r="G455" s="1" t="inlineStr">
        <is>
          <t>Богословский Р.С., Клинских И.</t>
        </is>
      </c>
      <c r="H455" s="1" t="inlineStr">
        <is>
          <t>60х90/16</t>
        </is>
      </c>
      <c r="I455" s="1" t="n">
        <v>336</v>
      </c>
      <c r="J455" s="1" t="inlineStr">
        <is>
          <t>РИПОЛ Классик</t>
        </is>
      </c>
      <c r="M455" s="1" t="inlineStr">
        <is>
          <t>2026</t>
        </is>
      </c>
      <c r="N455" s="1" t="inlineStr">
        <is>
          <t>П</t>
        </is>
      </c>
      <c r="O455" s="9" t="n">
        <v>8</v>
      </c>
      <c r="P455" s="1">
        <f>ROUNDUP(1200*(1-$F$3),2)</f>
        <v/>
      </c>
      <c r="Q455" s="1" t="inlineStr">
        <is>
          <t> </t>
        </is>
      </c>
      <c r="R455" s="1" t="inlineStr">
        <is>
          <t>978-5-386-15627-5</t>
        </is>
      </c>
      <c r="S455" s="1" t="inlineStr">
        <is>
          <t>9785386156275</t>
        </is>
      </c>
      <c r="T455" s="9" t="n">
        <v>22</v>
      </c>
      <c r="U455" s="1">
        <f>ROUNDUP(983.61*(1-$F$3),2)</f>
        <v/>
      </c>
      <c r="V455" s="1" t="n">
        <v>498</v>
      </c>
      <c r="Y455" s="1" t="inlineStr">
        <is>
          <t>Хой. Опасный путь через туман</t>
        </is>
      </c>
      <c r="Z455" s="1" t="inlineStr">
        <is>
          <t>18+</t>
        </is>
      </c>
      <c r="AA455" s="12" t="n">
        <v>46216</v>
      </c>
      <c r="AB455" s="1" t="inlineStr">
        <is>
          <t>Художественно-документальная проза</t>
        </is>
      </c>
      <c r="AC455" s="1" t="inlineStr">
        <is>
          <t>Биографии. Мемуары</t>
        </is>
      </c>
      <c r="AD455" s="1" t="inlineStr">
        <is>
          <t>Биографии деятелей культуры и искусства</t>
        </is>
      </c>
      <c r="AE455" s="1" t="inlineStr">
        <is>
          <t>офсетная</t>
        </is>
      </c>
      <c r="AG455" s="1" t="n">
        <v>12196380</v>
      </c>
      <c r="AI455" s="1" t="inlineStr">
        <is>
          <t>4901990000</t>
        </is>
      </c>
      <c r="AJ455" s="1" t="inlineStr">
        <is>
          <t>Зпв</t>
        </is>
      </c>
    </row>
    <row r="456" customFormat="1" s="1">
      <c r="C456" s="1" t="inlineStr">
        <is>
          <t xml:space="preserve">7252090             </t>
        </is>
      </c>
      <c r="D456" s="1" t="inlineStr">
        <is>
          <t>Блокноты</t>
        </is>
      </c>
      <c r="E456" s="1" t="inlineStr">
        <is>
          <t xml:space="preserve">Блокнот "Мальчик в красном". </t>
        </is>
      </c>
      <c r="F456" s="13" t="inlineStr">
        <is>
          <t>См.обл.</t>
        </is>
      </c>
      <c r="H456" s="1" t="inlineStr">
        <is>
          <t>60х90/16</t>
        </is>
      </c>
      <c r="I456" s="1" t="n">
        <v>160</v>
      </c>
      <c r="J456" s="1" t="inlineStr">
        <is>
          <t>РИПОЛ Классик</t>
        </is>
      </c>
      <c r="M456" s="1" t="inlineStr">
        <is>
          <t>2015</t>
        </is>
      </c>
      <c r="N456" s="1" t="inlineStr">
        <is>
          <t>П</t>
        </is>
      </c>
      <c r="O456" s="9" t="n">
        <v>22</v>
      </c>
      <c r="P456" s="1">
        <f>ROUNDUP(682.1*(1-$F$3),2)</f>
        <v/>
      </c>
      <c r="Q456" s="1" t="inlineStr">
        <is>
          <t> </t>
        </is>
      </c>
      <c r="R456" s="1" t="inlineStr">
        <is>
          <t>978-5-386-08904-7</t>
        </is>
      </c>
      <c r="S456" s="1" t="inlineStr">
        <is>
          <t>9785386089047</t>
        </is>
      </c>
      <c r="T456" s="9" t="n">
        <v>22</v>
      </c>
      <c r="U456" s="1">
        <f>ROUNDUP(559.1*(1-$F$3),2)</f>
        <v/>
      </c>
      <c r="V456" s="1" t="n">
        <v>284</v>
      </c>
      <c r="Y456" s="1" t="inlineStr">
        <is>
          <t>Блокнот "Мальчик в красном"</t>
        </is>
      </c>
      <c r="Z456" s="1" t="inlineStr">
        <is>
          <t>0 +</t>
        </is>
      </c>
      <c r="AA456" s="12" t="n">
        <v>42310</v>
      </c>
      <c r="AB456" s="1" t="inlineStr">
        <is>
          <t>Художественная литература</t>
        </is>
      </c>
      <c r="AC456" s="1" t="inlineStr">
        <is>
          <t>Прочие издания</t>
        </is>
      </c>
      <c r="AD456" s="1" t="inlineStr">
        <is>
          <t> </t>
        </is>
      </c>
      <c r="AE456" s="1" t="inlineStr">
        <is>
          <t> </t>
        </is>
      </c>
      <c r="AG456" s="1" t="n">
        <v>7252090</v>
      </c>
      <c r="AI456" s="1" t="inlineStr">
        <is>
          <t>4820103000</t>
        </is>
      </c>
    </row>
    <row r="457" customFormat="1" s="1">
      <c r="C457" s="1" t="inlineStr">
        <is>
          <t xml:space="preserve">7242530             </t>
        </is>
      </c>
      <c r="D457" s="1" t="inlineStr">
        <is>
          <t>Блокноты</t>
        </is>
      </c>
      <c r="E457" s="1" t="inlineStr">
        <is>
          <t xml:space="preserve">Блокнот "Носки". </t>
        </is>
      </c>
      <c r="F457" s="13" t="inlineStr">
        <is>
          <t>См.обл.</t>
        </is>
      </c>
      <c r="H457" s="1" t="inlineStr">
        <is>
          <t>84х108/32</t>
        </is>
      </c>
      <c r="I457" s="1" t="n">
        <v>160</v>
      </c>
      <c r="J457" s="1" t="inlineStr">
        <is>
          <t>РИПОЛ Классик</t>
        </is>
      </c>
      <c r="M457" s="1" t="inlineStr">
        <is>
          <t>2015</t>
        </is>
      </c>
      <c r="N457" s="1" t="inlineStr">
        <is>
          <t>П</t>
        </is>
      </c>
      <c r="O457" s="9" t="n">
        <v>22</v>
      </c>
      <c r="P457" s="1">
        <f>ROUNDUP(682.1*(1-$F$3),2)</f>
        <v/>
      </c>
      <c r="Q457" s="1" t="inlineStr">
        <is>
          <t> </t>
        </is>
      </c>
      <c r="R457" s="1" t="inlineStr">
        <is>
          <t>978-5-386-08905-4</t>
        </is>
      </c>
      <c r="S457" s="1" t="inlineStr">
        <is>
          <t>9785386089054</t>
        </is>
      </c>
      <c r="T457" s="9" t="n">
        <v>22</v>
      </c>
      <c r="U457" s="1">
        <f>ROUNDUP(559.1*(1-$F$3),2)</f>
        <v/>
      </c>
      <c r="V457" s="1" t="n">
        <v>262</v>
      </c>
      <c r="Y457" s="1" t="inlineStr">
        <is>
          <t>Блокнот "Носки"</t>
        </is>
      </c>
      <c r="Z457" s="1" t="inlineStr">
        <is>
          <t>0 +</t>
        </is>
      </c>
      <c r="AA457" s="12" t="n">
        <v>42304</v>
      </c>
      <c r="AB457" s="1" t="inlineStr">
        <is>
          <t>Художественная литература</t>
        </is>
      </c>
      <c r="AC457" s="1" t="inlineStr">
        <is>
          <t>Прочие издания</t>
        </is>
      </c>
      <c r="AD457" s="1" t="inlineStr">
        <is>
          <t> </t>
        </is>
      </c>
      <c r="AE457" s="1" t="inlineStr">
        <is>
          <t> </t>
        </is>
      </c>
      <c r="AG457" s="1" t="n">
        <v>7242530</v>
      </c>
    </row>
    <row r="458" customFormat="1" s="1">
      <c r="C458" s="1" t="inlineStr">
        <is>
          <t xml:space="preserve">7252060             </t>
        </is>
      </c>
      <c r="D458" s="1" t="inlineStr">
        <is>
          <t>Блокноты</t>
        </is>
      </c>
      <c r="E458" s="1" t="inlineStr">
        <is>
          <t xml:space="preserve">Блокнот "Санки". </t>
        </is>
      </c>
      <c r="F458" s="13" t="inlineStr">
        <is>
          <t>См.обл.</t>
        </is>
      </c>
      <c r="H458" s="1" t="inlineStr">
        <is>
          <t>60х90/16</t>
        </is>
      </c>
      <c r="I458" s="1" t="n">
        <v>160</v>
      </c>
      <c r="J458" s="1" t="inlineStr">
        <is>
          <t>РИПОЛ Классик</t>
        </is>
      </c>
      <c r="M458" s="1" t="inlineStr">
        <is>
          <t>2015</t>
        </is>
      </c>
      <c r="N458" s="1" t="inlineStr">
        <is>
          <t>П</t>
        </is>
      </c>
      <c r="O458" s="9" t="n">
        <v>22</v>
      </c>
      <c r="P458" s="1">
        <f>ROUNDUP(682.1*(1-$F$3),2)</f>
        <v/>
      </c>
      <c r="Q458" s="1" t="inlineStr">
        <is>
          <t> </t>
        </is>
      </c>
      <c r="R458" s="1" t="inlineStr">
        <is>
          <t>978-5-386-08910-8</t>
        </is>
      </c>
      <c r="S458" s="1" t="inlineStr">
        <is>
          <t>9785386089108</t>
        </is>
      </c>
      <c r="T458" s="9" t="n">
        <v>22</v>
      </c>
      <c r="U458" s="1">
        <f>ROUNDUP(559.1*(1-$F$3),2)</f>
        <v/>
      </c>
      <c r="V458" s="1" t="n">
        <v>297</v>
      </c>
      <c r="Y458" s="1" t="inlineStr">
        <is>
          <t>Блокнот "Санки"</t>
        </is>
      </c>
      <c r="Z458" s="1" t="inlineStr">
        <is>
          <t>0 +</t>
        </is>
      </c>
      <c r="AA458" s="12" t="n">
        <v>42310</v>
      </c>
      <c r="AB458" s="1" t="inlineStr">
        <is>
          <t>Художественная литература</t>
        </is>
      </c>
      <c r="AC458" s="1" t="inlineStr">
        <is>
          <t>Прочие издания</t>
        </is>
      </c>
      <c r="AD458" s="1" t="inlineStr">
        <is>
          <t> </t>
        </is>
      </c>
      <c r="AE458" s="1" t="inlineStr">
        <is>
          <t> </t>
        </is>
      </c>
      <c r="AG458" s="1" t="n">
        <v>7252060</v>
      </c>
    </row>
    <row r="459" customFormat="1" s="1">
      <c r="C459" s="1" t="inlineStr">
        <is>
          <t xml:space="preserve">12235490            </t>
        </is>
      </c>
      <c r="D459" s="1" t="inlineStr">
        <is>
          <t>Большая политика</t>
        </is>
      </c>
      <c r="E459" s="1" t="inlineStr">
        <is>
          <t>Джеффри Эпштейн. Неприкасаемые и машина безнаказанности. Чеканов И.</t>
        </is>
      </c>
      <c r="F459" s="13" t="inlineStr">
        <is>
          <t>См.обл.</t>
        </is>
      </c>
      <c r="G459" s="1" t="inlineStr">
        <is>
          <t>Чеканов И.</t>
        </is>
      </c>
      <c r="H459" s="1" t="inlineStr">
        <is>
          <t>60х90/16</t>
        </is>
      </c>
      <c r="I459" s="1" t="n">
        <v>272</v>
      </c>
      <c r="J459" s="1" t="inlineStr">
        <is>
          <t>РИПОЛ Классик</t>
        </is>
      </c>
      <c r="M459" s="1" t="inlineStr">
        <is>
          <t>2026</t>
        </is>
      </c>
      <c r="N459" s="1" t="inlineStr">
        <is>
          <t>П</t>
        </is>
      </c>
      <c r="O459" s="9" t="n">
        <v>12</v>
      </c>
      <c r="P459" s="1">
        <f>ROUNDUP(950*(1-$F$3),2)</f>
        <v/>
      </c>
      <c r="Q459" s="1" t="inlineStr">
        <is>
          <t> </t>
        </is>
      </c>
      <c r="R459" s="1" t="inlineStr">
        <is>
          <t>978-5-386-15684-8</t>
        </is>
      </c>
      <c r="S459" s="1" t="inlineStr">
        <is>
          <t>9785386156848</t>
        </is>
      </c>
      <c r="T459" s="9" t="n">
        <v>22</v>
      </c>
      <c r="U459" s="1">
        <f>ROUNDUP(778.69*(1-$F$3),2)</f>
        <v/>
      </c>
      <c r="V459" s="1" t="n">
        <v>425</v>
      </c>
      <c r="Y459" s="1" t="inlineStr">
        <is>
          <t>Джеффри Эпштейн. Неприкасаемые и машина безнаказанности</t>
        </is>
      </c>
      <c r="Z459" s="1" t="inlineStr">
        <is>
          <t>18+</t>
        </is>
      </c>
      <c r="AA459" s="12" t="n">
        <v>46244</v>
      </c>
      <c r="AB459" s="1" t="inlineStr">
        <is>
          <t>Художественно-документальная проза</t>
        </is>
      </c>
      <c r="AC459" s="1" t="inlineStr">
        <is>
          <t>Публицистика</t>
        </is>
      </c>
      <c r="AD459" s="1" t="inlineStr">
        <is>
          <t>Общественно-политическая публицистика</t>
        </is>
      </c>
      <c r="AE459" s="1" t="inlineStr">
        <is>
          <t>офсетная</t>
        </is>
      </c>
      <c r="AG459" s="1" t="n">
        <v>12235490</v>
      </c>
      <c r="AI459" s="1" t="inlineStr">
        <is>
          <t>4901990000</t>
        </is>
      </c>
      <c r="AJ459" s="1" t="inlineStr">
        <is>
          <t>Зпв</t>
        </is>
      </c>
    </row>
    <row r="460" customFormat="1" s="11">
      <c r="A460" s="11" t="inlineStr">
        <is>
          <t>нов</t>
        </is>
      </c>
      <c r="C460" s="11" t="inlineStr">
        <is>
          <t xml:space="preserve">12245350            </t>
        </is>
      </c>
      <c r="D460" s="11" t="inlineStr">
        <is>
          <t>Большая политика</t>
        </is>
      </c>
      <c r="E460" s="11" t="inlineStr">
        <is>
          <t>Иран-США. Точка невозврата. Семь десятилетий противостояния. Чеканов И.</t>
        </is>
      </c>
      <c r="F460" s="14" t="inlineStr">
        <is>
          <t>См.обл.</t>
        </is>
      </c>
      <c r="G460" s="11" t="inlineStr">
        <is>
          <t>Чеканов И.</t>
        </is>
      </c>
      <c r="H460" s="11" t="inlineStr">
        <is>
          <t>60х90/16</t>
        </is>
      </c>
      <c r="I460" s="11" t="n">
        <v>304</v>
      </c>
      <c r="J460" s="11" t="inlineStr">
        <is>
          <t>РИПОЛ Классик</t>
        </is>
      </c>
      <c r="M460" s="11" t="inlineStr">
        <is>
          <t>2026</t>
        </is>
      </c>
      <c r="N460" s="11" t="inlineStr">
        <is>
          <t>П</t>
        </is>
      </c>
      <c r="O460" s="26" t="n">
        <v>12</v>
      </c>
      <c r="P460" s="11">
        <f>ROUNDUP(950*(1-$F$3),2)</f>
        <v/>
      </c>
      <c r="Q460" s="11" t="inlineStr">
        <is>
          <t> </t>
        </is>
      </c>
      <c r="R460" s="11" t="inlineStr">
        <is>
          <t>978-5-386-15685-5</t>
        </is>
      </c>
      <c r="S460" s="11" t="inlineStr">
        <is>
          <t>9785386156855</t>
        </is>
      </c>
      <c r="T460" s="26" t="n">
        <v>22</v>
      </c>
      <c r="U460" s="11">
        <f>ROUNDUP(778.69*(1-$F$3),2)</f>
        <v/>
      </c>
      <c r="V460" s="11" t="n">
        <v>451</v>
      </c>
      <c r="Y460" s="11" t="inlineStr">
        <is>
          <t>Иран-США. Точка невозврата. Семь десятилетий противостояния</t>
        </is>
      </c>
      <c r="Z460" s="11" t="inlineStr">
        <is>
          <t>18+</t>
        </is>
      </c>
      <c r="AA460" s="15" t="n">
        <v>46261</v>
      </c>
      <c r="AB460" s="11" t="inlineStr">
        <is>
          <t>Общественные науки</t>
        </is>
      </c>
      <c r="AC460" s="11" t="inlineStr">
        <is>
          <t>Международные отношения. Внешняя политика</t>
        </is>
      </c>
      <c r="AD460" s="11" t="inlineStr">
        <is>
          <t>Международные отношения</t>
        </is>
      </c>
      <c r="AE460" s="11" t="inlineStr">
        <is>
          <t>офсетная</t>
        </is>
      </c>
      <c r="AG460" s="11" t="n">
        <v>12245350</v>
      </c>
      <c r="AI460" s="11" t="inlineStr">
        <is>
          <t>4901990000</t>
        </is>
      </c>
    </row>
    <row r="461" customFormat="1" s="11">
      <c r="A461" s="11" t="inlineStr">
        <is>
          <t>нов</t>
        </is>
      </c>
      <c r="C461" s="11" t="inlineStr">
        <is>
          <t xml:space="preserve">12245340            </t>
        </is>
      </c>
      <c r="D461" s="11" t="inlineStr">
        <is>
          <t>Большая политика</t>
        </is>
      </c>
      <c r="E461" s="11" t="inlineStr">
        <is>
          <t>Перекрыть Ормуз. Почему от Ормузского пролива зависит вся планета. Чеканов И.</t>
        </is>
      </c>
      <c r="F461" s="14" t="inlineStr">
        <is>
          <t>См.обл.</t>
        </is>
      </c>
      <c r="G461" s="11" t="inlineStr">
        <is>
          <t>Чеканов И.</t>
        </is>
      </c>
      <c r="H461" s="11" t="inlineStr">
        <is>
          <t>60х90/16</t>
        </is>
      </c>
      <c r="I461" s="11" t="n">
        <v>256</v>
      </c>
      <c r="J461" s="11" t="inlineStr">
        <is>
          <t>РИПОЛ Классик</t>
        </is>
      </c>
      <c r="M461" s="11" t="inlineStr">
        <is>
          <t>2026</t>
        </is>
      </c>
      <c r="N461" s="11" t="inlineStr">
        <is>
          <t>П</t>
        </is>
      </c>
      <c r="O461" s="26" t="n">
        <v>12</v>
      </c>
      <c r="P461" s="11">
        <f>ROUNDUP(890*(1-$F$3),2)</f>
        <v/>
      </c>
      <c r="Q461" s="11" t="inlineStr">
        <is>
          <t> </t>
        </is>
      </c>
      <c r="R461" s="11" t="inlineStr">
        <is>
          <t>978-5-386-15694-7</t>
        </is>
      </c>
      <c r="S461" s="11" t="inlineStr">
        <is>
          <t>9785386156947</t>
        </is>
      </c>
      <c r="T461" s="26" t="n">
        <v>10</v>
      </c>
      <c r="U461" s="11">
        <f>ROUNDUP(809.09*(1-$F$3),2)</f>
        <v/>
      </c>
      <c r="V461" s="11" t="n">
        <v>401</v>
      </c>
      <c r="Y461" s="11" t="inlineStr">
        <is>
          <t>Перекрыть Ормуз. Почему от Ормузского пролива зависит вся планета</t>
        </is>
      </c>
      <c r="Z461" s="11" t="inlineStr">
        <is>
          <t>16+</t>
        </is>
      </c>
      <c r="AA461" s="15" t="n">
        <v>46261</v>
      </c>
      <c r="AB461" s="11" t="inlineStr">
        <is>
          <t>Общественные науки</t>
        </is>
      </c>
      <c r="AC461" s="11" t="inlineStr">
        <is>
          <t>Международные отношения. Внешняя политика</t>
        </is>
      </c>
      <c r="AD461" s="11" t="inlineStr">
        <is>
          <t>Международные отношения</t>
        </is>
      </c>
      <c r="AE461" s="11" t="inlineStr">
        <is>
          <t>офсетная</t>
        </is>
      </c>
      <c r="AG461" s="11" t="n">
        <v>12245340</v>
      </c>
      <c r="AI461" s="11" t="inlineStr">
        <is>
          <t>4901990000</t>
        </is>
      </c>
    </row>
    <row r="462" customFormat="1" s="1">
      <c r="C462" s="1" t="inlineStr">
        <is>
          <t xml:space="preserve">10375040            </t>
        </is>
      </c>
      <c r="D462" s="1" t="inlineStr">
        <is>
          <t>Большая проза</t>
        </is>
      </c>
      <c r="E462" s="1" t="inlineStr">
        <is>
          <t>Братья: роман. МакКормик К.</t>
        </is>
      </c>
      <c r="F462" s="13" t="inlineStr">
        <is>
          <t>См.обл.</t>
        </is>
      </c>
      <c r="G462" s="1" t="inlineStr">
        <is>
          <t>МакКормик К.</t>
        </is>
      </c>
      <c r="H462" s="1" t="inlineStr">
        <is>
          <t>60х90/16</t>
        </is>
      </c>
      <c r="I462" s="1" t="n">
        <v>432</v>
      </c>
      <c r="J462" s="1" t="inlineStr">
        <is>
          <t>РИПОЛ Классик</t>
        </is>
      </c>
      <c r="M462" s="1" t="inlineStr">
        <is>
          <t>2022</t>
        </is>
      </c>
      <c r="N462" s="1" t="inlineStr">
        <is>
          <t>П</t>
        </is>
      </c>
      <c r="O462" s="9" t="n">
        <v>8</v>
      </c>
      <c r="P462" s="1">
        <f>ROUNDUP(1300*(1-$F$3),2)</f>
        <v/>
      </c>
      <c r="Q462" s="1" t="inlineStr">
        <is>
          <t> </t>
        </is>
      </c>
      <c r="R462" s="1" t="inlineStr">
        <is>
          <t>978-5-386-14715-0</t>
        </is>
      </c>
      <c r="S462" s="1" t="inlineStr">
        <is>
          <t>9785386147150</t>
        </is>
      </c>
      <c r="T462" s="9" t="n">
        <v>10</v>
      </c>
      <c r="U462" s="1">
        <f>ROUNDUP(1181.82*(1-$F$3),2)</f>
        <v/>
      </c>
      <c r="V462" s="1" t="n">
        <v>601</v>
      </c>
      <c r="Y462" s="1" t="inlineStr">
        <is>
          <t>Братья: роман</t>
        </is>
      </c>
      <c r="Z462" s="1" t="inlineStr">
        <is>
          <t>16+</t>
        </is>
      </c>
      <c r="AA462" s="12" t="n">
        <v>44676</v>
      </c>
      <c r="AB462" s="1" t="inlineStr">
        <is>
          <t>Художественная литература</t>
        </is>
      </c>
      <c r="AC462" s="1" t="inlineStr">
        <is>
          <t>Зарубежная литература</t>
        </is>
      </c>
      <c r="AD462" s="1" t="inlineStr">
        <is>
          <t>Европейская литература</t>
        </is>
      </c>
      <c r="AE462" s="1" t="inlineStr">
        <is>
          <t>офсетная</t>
        </is>
      </c>
      <c r="AG462" s="1" t="n">
        <v>10375040</v>
      </c>
      <c r="AI462" s="1" t="inlineStr">
        <is>
          <t>4901990000</t>
        </is>
      </c>
      <c r="AJ462" s="1" t="inlineStr">
        <is>
          <t>Зпв</t>
        </is>
      </c>
    </row>
    <row r="463" customFormat="1" s="1">
      <c r="C463" s="1" t="inlineStr">
        <is>
          <t xml:space="preserve">11610380            </t>
        </is>
      </c>
      <c r="D463" s="1" t="inlineStr">
        <is>
          <t>Большая проза</t>
        </is>
      </c>
      <c r="E463" s="1" t="inlineStr">
        <is>
          <t>Долговая палочка. Никсон К.</t>
        </is>
      </c>
      <c r="F463" s="13" t="inlineStr">
        <is>
          <t>См.обл.</t>
        </is>
      </c>
      <c r="G463" s="1" t="inlineStr">
        <is>
          <t>Никсон К.</t>
        </is>
      </c>
      <c r="H463" s="1" t="inlineStr">
        <is>
          <t>60х90/16</t>
        </is>
      </c>
      <c r="I463" s="1" t="n">
        <v>304</v>
      </c>
      <c r="J463" s="1" t="inlineStr">
        <is>
          <t>РИПОЛ Классик</t>
        </is>
      </c>
      <c r="M463" s="1" t="inlineStr">
        <is>
          <t>2025</t>
        </is>
      </c>
      <c r="N463" s="1" t="inlineStr">
        <is>
          <t>П</t>
        </is>
      </c>
      <c r="O463" s="9" t="n">
        <v>14</v>
      </c>
      <c r="P463" s="1">
        <f>ROUNDUP(1040*(1-$F$3),2)</f>
        <v/>
      </c>
      <c r="Q463" s="1" t="inlineStr">
        <is>
          <t> </t>
        </is>
      </c>
      <c r="R463" s="1" t="inlineStr">
        <is>
          <t>978-5-386-15230-7</t>
        </is>
      </c>
      <c r="S463" s="1" t="inlineStr">
        <is>
          <t>9785386152307</t>
        </is>
      </c>
      <c r="T463" s="9" t="n">
        <v>22</v>
      </c>
      <c r="U463" s="1">
        <f>ROUNDUP(852.46*(1-$F$3),2)</f>
        <v/>
      </c>
      <c r="V463" s="1" t="n">
        <v>383</v>
      </c>
      <c r="Y463" s="1" t="inlineStr">
        <is>
          <t>Долговая палочка</t>
        </is>
      </c>
      <c r="Z463" s="1" t="inlineStr">
        <is>
          <t>18+</t>
        </is>
      </c>
      <c r="AA463" s="12" t="n">
        <v>45716</v>
      </c>
      <c r="AB463" s="1" t="inlineStr">
        <is>
          <t>Художественная литература</t>
        </is>
      </c>
      <c r="AC463" s="1" t="inlineStr">
        <is>
          <t>Детективы. Боевики. Триллеры</t>
        </is>
      </c>
      <c r="AD463" s="1" t="inlineStr">
        <is>
          <t>Зарубежный детектив</t>
        </is>
      </c>
      <c r="AE463" s="1" t="inlineStr">
        <is>
          <t>офсетная</t>
        </is>
      </c>
      <c r="AG463" s="1" t="n">
        <v>11610380</v>
      </c>
      <c r="AI463" s="1" t="inlineStr">
        <is>
          <t>4901990000</t>
        </is>
      </c>
      <c r="AJ463" s="1" t="inlineStr">
        <is>
          <t>Зпв</t>
        </is>
      </c>
    </row>
    <row r="464" customFormat="1" s="1">
      <c r="C464" s="1" t="inlineStr">
        <is>
          <t xml:space="preserve">11502990            </t>
        </is>
      </c>
      <c r="D464" s="1" t="inlineStr">
        <is>
          <t>Большая проза</t>
        </is>
      </c>
      <c r="E464" s="1" t="inlineStr">
        <is>
          <t>Женщина в библиотеке. Джентилл С.</t>
        </is>
      </c>
      <c r="F464" s="13" t="inlineStr">
        <is>
          <t>См.обл.</t>
        </is>
      </c>
      <c r="G464" s="1" t="inlineStr">
        <is>
          <t>Джентилл С.</t>
        </is>
      </c>
      <c r="H464" s="1" t="inlineStr">
        <is>
          <t>60х90/16</t>
        </is>
      </c>
      <c r="I464" s="1" t="n">
        <v>384</v>
      </c>
      <c r="J464" s="1" t="inlineStr">
        <is>
          <t>РИПОЛ Классик</t>
        </is>
      </c>
      <c r="M464" s="1" t="inlineStr">
        <is>
          <t>2026</t>
        </is>
      </c>
      <c r="N464" s="1" t="inlineStr">
        <is>
          <t>П</t>
        </is>
      </c>
      <c r="O464" s="9" t="n">
        <v>8</v>
      </c>
      <c r="P464" s="1">
        <f>ROUNDUP(1000*(1-$F$3),2)</f>
        <v/>
      </c>
      <c r="Q464" s="1" t="inlineStr">
        <is>
          <t> </t>
        </is>
      </c>
      <c r="R464" s="1" t="inlineStr">
        <is>
          <t>978-5-386-15233-8</t>
        </is>
      </c>
      <c r="S464" s="1" t="inlineStr">
        <is>
          <t>9785386152338</t>
        </is>
      </c>
      <c r="T464" s="9" t="n">
        <v>22</v>
      </c>
      <c r="U464" s="1">
        <f>ROUNDUP(819.67*(1-$F$3),2)</f>
        <v/>
      </c>
      <c r="V464" s="1" t="n">
        <v>453</v>
      </c>
      <c r="Y464" s="1" t="inlineStr">
        <is>
          <t>Женщина в библиотеке</t>
        </is>
      </c>
      <c r="Z464" s="1" t="inlineStr">
        <is>
          <t>18+</t>
        </is>
      </c>
      <c r="AA464" s="12" t="n">
        <v>45607</v>
      </c>
      <c r="AB464" s="1" t="inlineStr">
        <is>
          <t>Художественная литература</t>
        </is>
      </c>
      <c r="AC464" s="1" t="inlineStr">
        <is>
          <t>Детективы. Боевики. Триллеры</t>
        </is>
      </c>
      <c r="AD464" s="1" t="inlineStr">
        <is>
          <t>Зарубежный детектив</t>
        </is>
      </c>
      <c r="AE464" s="1" t="inlineStr">
        <is>
          <t>офсетная</t>
        </is>
      </c>
      <c r="AG464" s="1" t="n">
        <v>11502990</v>
      </c>
      <c r="AI464" s="1" t="inlineStr">
        <is>
          <t>4901990000</t>
        </is>
      </c>
    </row>
    <row r="465" customFormat="1" s="1">
      <c r="C465" s="1" t="inlineStr">
        <is>
          <t xml:space="preserve">11265110            </t>
        </is>
      </c>
      <c r="D465" s="1" t="inlineStr">
        <is>
          <t>Большая проза</t>
        </is>
      </c>
      <c r="E465" s="1" t="inlineStr">
        <is>
          <t>Масло. Юзуки А.</t>
        </is>
      </c>
      <c r="F465" s="13" t="inlineStr">
        <is>
          <t>См.обл.</t>
        </is>
      </c>
      <c r="G465" s="1" t="inlineStr">
        <is>
          <t>Юзуки А.</t>
        </is>
      </c>
      <c r="H465" s="1" t="inlineStr">
        <is>
          <t>60х90/16</t>
        </is>
      </c>
      <c r="I465" s="1" t="n">
        <v>480</v>
      </c>
      <c r="J465" s="1" t="inlineStr">
        <is>
          <t>РИПОЛ Классик</t>
        </is>
      </c>
      <c r="M465" s="1" t="inlineStr">
        <is>
          <t>2026</t>
        </is>
      </c>
      <c r="N465" s="1" t="inlineStr">
        <is>
          <t>П</t>
        </is>
      </c>
      <c r="O465" s="9" t="n">
        <v>6</v>
      </c>
      <c r="P465" s="1">
        <f>ROUNDUP(1320*(1-$F$3),2)</f>
        <v/>
      </c>
      <c r="Q465" s="1" t="inlineStr">
        <is>
          <t> </t>
        </is>
      </c>
      <c r="R465" s="1" t="inlineStr">
        <is>
          <t>978-5-386-15023-5</t>
        </is>
      </c>
      <c r="S465" s="1" t="inlineStr">
        <is>
          <t>9785386150235</t>
        </is>
      </c>
      <c r="T465" s="9" t="n">
        <v>22</v>
      </c>
      <c r="U465" s="1">
        <f>ROUNDUP(1081.97*(1-$F$3),2)</f>
        <v/>
      </c>
      <c r="V465" s="1" t="n">
        <v>528</v>
      </c>
      <c r="Y465" s="1" t="inlineStr">
        <is>
          <t>Масло</t>
        </is>
      </c>
      <c r="Z465" s="1" t="inlineStr">
        <is>
          <t>18+</t>
        </is>
      </c>
      <c r="AA465" s="12" t="n">
        <v>45381</v>
      </c>
      <c r="AB465" s="1" t="inlineStr">
        <is>
          <t>Художественная литература</t>
        </is>
      </c>
      <c r="AC465" s="1" t="inlineStr">
        <is>
          <t>Детективы. Боевики. Триллеры</t>
        </is>
      </c>
      <c r="AD465" s="1" t="inlineStr">
        <is>
          <t>Зарубежный детектив</t>
        </is>
      </c>
      <c r="AE465" s="1" t="inlineStr">
        <is>
          <t>офсетная</t>
        </is>
      </c>
      <c r="AG465" s="1" t="n">
        <v>11265110</v>
      </c>
      <c r="AI465" s="1" t="inlineStr">
        <is>
          <t>4901990000</t>
        </is>
      </c>
    </row>
    <row r="466" customFormat="1" s="1">
      <c r="C466" s="1" t="inlineStr">
        <is>
          <t xml:space="preserve">10292800            </t>
        </is>
      </c>
      <c r="D466" s="1" t="inlineStr">
        <is>
          <t>Большая проза</t>
        </is>
      </c>
      <c r="E466" s="1" t="inlineStr">
        <is>
          <t>Мой год с Сэлинджером. Рэйкофф Дж.</t>
        </is>
      </c>
      <c r="F466" s="13" t="inlineStr">
        <is>
          <t>См.обл.</t>
        </is>
      </c>
      <c r="G466" s="1" t="inlineStr">
        <is>
          <t>Рэйкофф Дж.</t>
        </is>
      </c>
      <c r="H466" s="1" t="inlineStr">
        <is>
          <t>60х90/16</t>
        </is>
      </c>
      <c r="I466" s="1" t="n">
        <v>368</v>
      </c>
      <c r="J466" s="1" t="inlineStr">
        <is>
          <t>РИПОЛ Классик</t>
        </is>
      </c>
      <c r="M466" s="1" t="inlineStr">
        <is>
          <t>2022</t>
        </is>
      </c>
      <c r="N466" s="1" t="inlineStr">
        <is>
          <t>П</t>
        </is>
      </c>
      <c r="O466" s="9" t="n">
        <v>10</v>
      </c>
      <c r="P466" s="1">
        <f>ROUNDUP(1290*(1-$F$3),2)</f>
        <v/>
      </c>
      <c r="Q466" s="1" t="inlineStr">
        <is>
          <t> </t>
        </is>
      </c>
      <c r="R466" s="1" t="inlineStr">
        <is>
          <t>978-5-386-14665-8</t>
        </is>
      </c>
      <c r="S466" s="1" t="inlineStr">
        <is>
          <t>9785386146658</t>
        </is>
      </c>
      <c r="T466" s="9" t="n">
        <v>10</v>
      </c>
      <c r="U466" s="1">
        <f>ROUNDUP(1172.73*(1-$F$3),2)</f>
        <v/>
      </c>
      <c r="V466" s="1" t="n">
        <v>535</v>
      </c>
      <c r="Y466" s="1" t="inlineStr">
        <is>
          <t>Мой год с Сэлинджером</t>
        </is>
      </c>
      <c r="Z466" s="1" t="inlineStr">
        <is>
          <t>16+</t>
        </is>
      </c>
      <c r="AA466" s="12" t="n">
        <v>44656</v>
      </c>
      <c r="AB466" s="1" t="inlineStr">
        <is>
          <t>Художественная литература</t>
        </is>
      </c>
      <c r="AC466" s="1" t="inlineStr">
        <is>
          <t>Зарубежная литература</t>
        </is>
      </c>
      <c r="AD466" s="1" t="inlineStr">
        <is>
          <t>Литература Америки и Австралии</t>
        </is>
      </c>
      <c r="AE466" s="1" t="inlineStr">
        <is>
          <t>офсетная</t>
        </is>
      </c>
      <c r="AG466" s="1" t="n">
        <v>10292800</v>
      </c>
      <c r="AI466" s="1" t="inlineStr">
        <is>
          <t>4901990000</t>
        </is>
      </c>
      <c r="AJ466" s="1" t="inlineStr">
        <is>
          <t>Зпв</t>
        </is>
      </c>
    </row>
    <row r="467" customFormat="1" s="1">
      <c r="C467" s="1" t="inlineStr">
        <is>
          <t xml:space="preserve">11936020            </t>
        </is>
      </c>
      <c r="D467" s="1" t="inlineStr">
        <is>
          <t>Большая проза</t>
        </is>
      </c>
      <c r="E467" s="1" t="inlineStr">
        <is>
          <t>Плод пьяного дерева. Рохас Контрерас И.</t>
        </is>
      </c>
      <c r="F467" s="13" t="inlineStr">
        <is>
          <t>См.обл.</t>
        </is>
      </c>
      <c r="G467" s="1" t="inlineStr">
        <is>
          <t>Рохас Контрерас И.</t>
        </is>
      </c>
      <c r="H467" s="1" t="inlineStr">
        <is>
          <t>60х90/16</t>
        </is>
      </c>
      <c r="I467" s="1" t="n">
        <v>368</v>
      </c>
      <c r="J467" s="1" t="inlineStr">
        <is>
          <t>РИПОЛ Классик</t>
        </is>
      </c>
      <c r="M467" s="1" t="inlineStr">
        <is>
          <t>2026</t>
        </is>
      </c>
      <c r="N467" s="1" t="inlineStr">
        <is>
          <t>П</t>
        </is>
      </c>
      <c r="O467" s="9" t="n">
        <v>6</v>
      </c>
      <c r="P467" s="1">
        <f>ROUNDUP(1000*(1-$F$3),2)</f>
        <v/>
      </c>
      <c r="Q467" s="1" t="inlineStr">
        <is>
          <t> </t>
        </is>
      </c>
      <c r="R467" s="1" t="inlineStr">
        <is>
          <t>978-5-386-15112-6</t>
        </is>
      </c>
      <c r="S467" s="1" t="inlineStr">
        <is>
          <t>9785386151126</t>
        </is>
      </c>
      <c r="T467" s="9" t="n">
        <v>22</v>
      </c>
      <c r="U467" s="1">
        <f>ROUNDUP(819.67*(1-$F$3),2)</f>
        <v/>
      </c>
      <c r="V467" s="1" t="n">
        <v>425</v>
      </c>
      <c r="Y467" s="1" t="inlineStr">
        <is>
          <t>Плод пьяного дерева</t>
        </is>
      </c>
      <c r="Z467" s="1" t="inlineStr">
        <is>
          <t>18+</t>
        </is>
      </c>
      <c r="AA467" s="12" t="n">
        <v>45992</v>
      </c>
      <c r="AB467" s="1" t="inlineStr">
        <is>
          <t>Художественная литература</t>
        </is>
      </c>
      <c r="AC467" s="1" t="inlineStr">
        <is>
          <t>Зарубежная литература</t>
        </is>
      </c>
      <c r="AD467" s="1" t="inlineStr">
        <is>
          <t>Литература Америки и Австралии</t>
        </is>
      </c>
      <c r="AE467" s="1" t="inlineStr">
        <is>
          <t>офсетная</t>
        </is>
      </c>
      <c r="AG467" s="1" t="n">
        <v>11936020</v>
      </c>
      <c r="AI467" s="1" t="inlineStr">
        <is>
          <t>4901990000</t>
        </is>
      </c>
      <c r="AJ467" s="1" t="inlineStr">
        <is>
          <t>Зпв</t>
        </is>
      </c>
    </row>
    <row r="468" customFormat="1" s="1">
      <c r="C468" s="1" t="inlineStr">
        <is>
          <t xml:space="preserve">10583360            </t>
        </is>
      </c>
      <c r="D468" s="1" t="inlineStr">
        <is>
          <t>Большая проза</t>
        </is>
      </c>
      <c r="E468" s="1" t="inlineStr">
        <is>
          <t>Смерть в Сонагачи. Дас Р.</t>
        </is>
      </c>
      <c r="F468" s="13" t="inlineStr">
        <is>
          <t>См.обл.</t>
        </is>
      </c>
      <c r="G468" s="1" t="inlineStr">
        <is>
          <t>Дас Р.</t>
        </is>
      </c>
      <c r="H468" s="1" t="inlineStr">
        <is>
          <t>60х90/16</t>
        </is>
      </c>
      <c r="I468" s="1" t="n">
        <v>320</v>
      </c>
      <c r="J468" s="1" t="inlineStr">
        <is>
          <t>РИПОЛ Классик</t>
        </is>
      </c>
      <c r="M468" s="1" t="inlineStr">
        <is>
          <t>2023</t>
        </is>
      </c>
      <c r="N468" s="1" t="inlineStr">
        <is>
          <t>П</t>
        </is>
      </c>
      <c r="O468" s="9" t="n">
        <v>12</v>
      </c>
      <c r="P468" s="1">
        <f>ROUNDUP(1030*(1-$F$3),2)</f>
        <v/>
      </c>
      <c r="Q468" s="1" t="inlineStr">
        <is>
          <t> </t>
        </is>
      </c>
      <c r="R468" s="1" t="inlineStr">
        <is>
          <t>978-5-386-14915-4</t>
        </is>
      </c>
      <c r="S468" s="1" t="inlineStr">
        <is>
          <t>9785386149154</t>
        </is>
      </c>
      <c r="T468" s="9" t="n">
        <v>22</v>
      </c>
      <c r="U468" s="1">
        <f>ROUNDUP(844.26*(1-$F$3),2)</f>
        <v/>
      </c>
      <c r="V468" s="1" t="n">
        <v>472</v>
      </c>
      <c r="Y468" s="1" t="inlineStr">
        <is>
          <t>Смерть в Сонагачи</t>
        </is>
      </c>
      <c r="Z468" s="1" t="inlineStr">
        <is>
          <t>18+</t>
        </is>
      </c>
      <c r="AA468" s="12" t="n">
        <v>44828</v>
      </c>
      <c r="AB468" s="1" t="inlineStr">
        <is>
          <t>Художественная литература</t>
        </is>
      </c>
      <c r="AC468" s="1" t="inlineStr">
        <is>
          <t>Детективы. Боевики. Триллеры</t>
        </is>
      </c>
      <c r="AD468" s="1" t="inlineStr">
        <is>
          <t>Зарубежный детектив</t>
        </is>
      </c>
      <c r="AE468" s="1" t="inlineStr">
        <is>
          <t>офсетная</t>
        </is>
      </c>
      <c r="AG468" s="1" t="n">
        <v>10583360</v>
      </c>
      <c r="AI468" s="1" t="inlineStr">
        <is>
          <t>4901990000</t>
        </is>
      </c>
    </row>
    <row r="469" customFormat="1" s="1">
      <c r="C469" s="1" t="inlineStr">
        <is>
          <t xml:space="preserve">12148710            </t>
        </is>
      </c>
      <c r="D469" s="1" t="inlineStr">
        <is>
          <t>Большая проза</t>
        </is>
      </c>
      <c r="E469" s="1" t="inlineStr">
        <is>
          <t>Таинственный писатель. Джентилл С.</t>
        </is>
      </c>
      <c r="F469" s="13" t="inlineStr">
        <is>
          <t>См.обл.</t>
        </is>
      </c>
      <c r="G469" s="1" t="inlineStr">
        <is>
          <t>Джентилл С.</t>
        </is>
      </c>
      <c r="H469" s="1" t="inlineStr">
        <is>
          <t>60х90/16</t>
        </is>
      </c>
      <c r="I469" s="1" t="n">
        <v>432</v>
      </c>
      <c r="J469" s="1" t="inlineStr">
        <is>
          <t>РИПОЛ Классик</t>
        </is>
      </c>
      <c r="M469" s="1" t="inlineStr">
        <is>
          <t>2026</t>
        </is>
      </c>
      <c r="N469" s="1" t="inlineStr">
        <is>
          <t>П</t>
        </is>
      </c>
      <c r="O469" s="9" t="n">
        <v>6</v>
      </c>
      <c r="P469" s="1">
        <f>ROUNDUP(1100*(1-$F$3),2)</f>
        <v/>
      </c>
      <c r="Q469" s="1" t="inlineStr">
        <is>
          <t> </t>
        </is>
      </c>
      <c r="R469" s="1" t="inlineStr">
        <is>
          <t>978-5-386-15524-7</t>
        </is>
      </c>
      <c r="S469" s="1" t="inlineStr">
        <is>
          <t>9785386155247</t>
        </is>
      </c>
      <c r="T469" s="9" t="n">
        <v>22</v>
      </c>
      <c r="U469" s="1">
        <f>ROUNDUP(901.64*(1-$F$3),2)</f>
        <v/>
      </c>
      <c r="V469" s="1" t="n">
        <v>528</v>
      </c>
      <c r="Y469" s="1" t="inlineStr">
        <is>
          <t>Таинственный писатель</t>
        </is>
      </c>
      <c r="Z469" s="1" t="inlineStr">
        <is>
          <t>18+</t>
        </is>
      </c>
      <c r="AA469" s="12" t="n">
        <v>46212</v>
      </c>
      <c r="AB469" s="1" t="inlineStr">
        <is>
          <t>Художественная литература</t>
        </is>
      </c>
      <c r="AC469" s="1" t="inlineStr">
        <is>
          <t>Детективы. Боевики. Триллеры</t>
        </is>
      </c>
      <c r="AD469" s="1" t="inlineStr">
        <is>
          <t>Зарубежный детектив</t>
        </is>
      </c>
      <c r="AE469" s="1" t="inlineStr">
        <is>
          <t>офсетная</t>
        </is>
      </c>
      <c r="AG469" s="1" t="n">
        <v>12148710</v>
      </c>
      <c r="AI469" s="1" t="inlineStr">
        <is>
          <t>4901990000</t>
        </is>
      </c>
      <c r="AJ469" s="1" t="inlineStr">
        <is>
          <t>Зпв</t>
        </is>
      </c>
    </row>
    <row r="470" customFormat="1" s="1">
      <c r="C470" s="1" t="inlineStr">
        <is>
          <t xml:space="preserve">9671380             </t>
        </is>
      </c>
      <c r="D470" s="1" t="inlineStr">
        <is>
          <t>Большой роман</t>
        </is>
      </c>
      <c r="E470" s="1" t="inlineStr">
        <is>
          <t>Ночь нежна: роман. Фицджеральд Ф.С.К.</t>
        </is>
      </c>
      <c r="F470" s="13" t="inlineStr">
        <is>
          <t>См.обл.</t>
        </is>
      </c>
      <c r="G470" s="1" t="inlineStr">
        <is>
          <t>Фицджеральд Ф.С.К.</t>
        </is>
      </c>
      <c r="H470" s="1" t="inlineStr">
        <is>
          <t>84х108/32</t>
        </is>
      </c>
      <c r="I470" s="1" t="n">
        <v>464</v>
      </c>
      <c r="J470" s="1" t="inlineStr">
        <is>
          <t>РИПОЛ Классик</t>
        </is>
      </c>
      <c r="M470" s="1" t="inlineStr">
        <is>
          <t>2021</t>
        </is>
      </c>
      <c r="N470" s="1" t="inlineStr">
        <is>
          <t>П</t>
        </is>
      </c>
      <c r="O470" s="9" t="n">
        <v>8</v>
      </c>
      <c r="P470" s="1">
        <f>ROUNDUP(1240*(1-$F$3),2)</f>
        <v/>
      </c>
      <c r="Q470" s="1" t="inlineStr">
        <is>
          <t> </t>
        </is>
      </c>
      <c r="R470" s="1" t="inlineStr">
        <is>
          <t>978-5-386-14187-5</t>
        </is>
      </c>
      <c r="S470" s="1" t="inlineStr">
        <is>
          <t>9785386141875</t>
        </is>
      </c>
      <c r="T470" s="9" t="n">
        <v>10</v>
      </c>
      <c r="U470" s="1">
        <f>ROUNDUP(1127.27*(1-$F$3),2)</f>
        <v/>
      </c>
      <c r="V470" s="1" t="n">
        <v>454</v>
      </c>
      <c r="Y470" s="1" t="inlineStr">
        <is>
          <t>Ночь нежна: роман</t>
        </is>
      </c>
      <c r="Z470" s="1" t="inlineStr">
        <is>
          <t>16+</t>
        </is>
      </c>
      <c r="AA470" s="12" t="n">
        <v>44298</v>
      </c>
      <c r="AB470" s="1" t="inlineStr">
        <is>
          <t>Художественная литература</t>
        </is>
      </c>
      <c r="AC470" s="1" t="inlineStr">
        <is>
          <t>Зарубежная литература</t>
        </is>
      </c>
      <c r="AD470" s="1" t="inlineStr">
        <is>
          <t>Литература Америки и Австралии</t>
        </is>
      </c>
      <c r="AE470" s="1" t="inlineStr">
        <is>
          <t>офсетная</t>
        </is>
      </c>
      <c r="AG470" s="1" t="n">
        <v>9671380</v>
      </c>
      <c r="AI470" s="1" t="inlineStr">
        <is>
          <t>4901990000</t>
        </is>
      </c>
    </row>
    <row r="471" customFormat="1" s="1">
      <c r="C471" s="1" t="inlineStr">
        <is>
          <t xml:space="preserve">9699770             </t>
        </is>
      </c>
      <c r="D471" s="1" t="inlineStr">
        <is>
          <t>Большой роман</t>
        </is>
      </c>
      <c r="E471" s="1" t="inlineStr">
        <is>
          <t>Состояние свободы. Мукерджи Н.</t>
        </is>
      </c>
      <c r="F471" s="13" t="inlineStr">
        <is>
          <t>См.обл.</t>
        </is>
      </c>
      <c r="G471" s="1" t="inlineStr">
        <is>
          <t>Мукерджи Н.</t>
        </is>
      </c>
      <c r="H471" s="1" t="inlineStr">
        <is>
          <t>84х108/32</t>
        </is>
      </c>
      <c r="I471" s="1" t="n">
        <v>384</v>
      </c>
      <c r="J471" s="1" t="inlineStr">
        <is>
          <t>РИПОЛ Классик</t>
        </is>
      </c>
      <c r="M471" s="1" t="inlineStr">
        <is>
          <t>2021</t>
        </is>
      </c>
      <c r="N471" s="1" t="inlineStr">
        <is>
          <t>П</t>
        </is>
      </c>
      <c r="O471" s="9" t="n">
        <v>8</v>
      </c>
      <c r="P471" s="1">
        <f>ROUNDUP(1070*(1-$F$3),2)</f>
        <v/>
      </c>
      <c r="Q471" s="1" t="inlineStr">
        <is>
          <t> </t>
        </is>
      </c>
      <c r="R471" s="1" t="inlineStr">
        <is>
          <t>978-5-386-14109-7</t>
        </is>
      </c>
      <c r="S471" s="1" t="inlineStr">
        <is>
          <t>9785386141097</t>
        </is>
      </c>
      <c r="T471" s="9" t="n">
        <v>10</v>
      </c>
      <c r="U471" s="1">
        <f>ROUNDUP(972.73*(1-$F$3),2)</f>
        <v/>
      </c>
      <c r="V471" s="1" t="n">
        <v>421</v>
      </c>
      <c r="Y471" s="1" t="inlineStr">
        <is>
          <t>Состояние свободы</t>
        </is>
      </c>
      <c r="Z471" s="1" t="inlineStr">
        <is>
          <t>16+</t>
        </is>
      </c>
      <c r="AA471" s="12" t="n">
        <v>44305</v>
      </c>
      <c r="AB471" s="1" t="inlineStr">
        <is>
          <t>Художественная литература</t>
        </is>
      </c>
      <c r="AC471" s="1" t="inlineStr">
        <is>
          <t>Зарубежная литература</t>
        </is>
      </c>
      <c r="AD471" s="1" t="inlineStr">
        <is>
          <t>Европейская литература</t>
        </is>
      </c>
      <c r="AE471" s="1" t="inlineStr">
        <is>
          <t>офсетная</t>
        </is>
      </c>
      <c r="AG471" s="1" t="n">
        <v>9699770</v>
      </c>
      <c r="AI471" s="1" t="inlineStr">
        <is>
          <t>4901990000</t>
        </is>
      </c>
    </row>
    <row r="472" customFormat="1" s="1">
      <c r="C472" s="1" t="inlineStr">
        <is>
          <t xml:space="preserve">8616580             </t>
        </is>
      </c>
      <c r="D472" s="1" t="inlineStr">
        <is>
          <t>Британская детская энциклопедия</t>
        </is>
      </c>
      <c r="E472" s="1" t="inlineStr">
        <is>
          <t>Век машин: энциклопедия. Моррис Н.</t>
        </is>
      </c>
      <c r="F472" s="13" t="inlineStr">
        <is>
          <t>См.обл.</t>
        </is>
      </c>
      <c r="G472" s="1" t="inlineStr">
        <is>
          <t>Моррис Н.</t>
        </is>
      </c>
      <c r="H472" s="1" t="inlineStr">
        <is>
          <t>70х100/8</t>
        </is>
      </c>
      <c r="I472" s="1" t="n">
        <v>88</v>
      </c>
      <c r="J472" s="1" t="inlineStr">
        <is>
          <t>РИПОЛ Классик</t>
        </is>
      </c>
      <c r="K472" s="1" t="inlineStr">
        <is>
          <t>Пальмира</t>
        </is>
      </c>
      <c r="M472" s="1" t="inlineStr">
        <is>
          <t>2018</t>
        </is>
      </c>
      <c r="N472" s="1" t="inlineStr">
        <is>
          <t>П</t>
        </is>
      </c>
      <c r="O472" s="9" t="n">
        <v>8</v>
      </c>
      <c r="P472" s="1">
        <f>ROUNDUP(1030.5*(1-$F$3),2)</f>
        <v/>
      </c>
      <c r="Q472" s="1" t="inlineStr">
        <is>
          <t> </t>
        </is>
      </c>
      <c r="R472" s="1" t="inlineStr">
        <is>
          <t>978-5-386-10995-0</t>
        </is>
      </c>
      <c r="S472" s="1" t="inlineStr">
        <is>
          <t>9785386109950</t>
        </is>
      </c>
      <c r="T472" s="9" t="n">
        <v>10</v>
      </c>
      <c r="U472" s="1">
        <f>ROUNDUP(936.82*(1-$F$3),2)</f>
        <v/>
      </c>
      <c r="V472" s="1" t="n">
        <v>605</v>
      </c>
      <c r="Y472" s="1" t="inlineStr">
        <is>
          <t>Век машин: энциклопедия</t>
        </is>
      </c>
      <c r="Z472" s="1" t="inlineStr">
        <is>
          <t>12+</t>
        </is>
      </c>
      <c r="AA472" s="12" t="n">
        <v>43215</v>
      </c>
      <c r="AB472" s="1" t="inlineStr">
        <is>
          <t>Детская литература</t>
        </is>
      </c>
      <c r="AC472" s="1" t="inlineStr">
        <is>
          <t>Познавательная литература для детей</t>
        </is>
      </c>
      <c r="AD472" s="1" t="inlineStr">
        <is>
          <t>История</t>
        </is>
      </c>
      <c r="AE472" s="1" t="inlineStr">
        <is>
          <t>мелованная</t>
        </is>
      </c>
      <c r="AG472" s="1" t="n">
        <v>8616580</v>
      </c>
      <c r="AI472" s="1" t="inlineStr">
        <is>
          <t>4901910000</t>
        </is>
      </c>
    </row>
    <row r="473" customFormat="1" s="1">
      <c r="C473" s="1" t="inlineStr">
        <is>
          <t xml:space="preserve">8616570             </t>
        </is>
      </c>
      <c r="D473" s="1" t="inlineStr">
        <is>
          <t>Британская детская энциклопедия</t>
        </is>
      </c>
      <c r="E473" s="1" t="inlineStr">
        <is>
          <t>Колонии и Царства: энциклопедия. Моррис Н.</t>
        </is>
      </c>
      <c r="F473" s="13" t="inlineStr">
        <is>
          <t>См.обл.</t>
        </is>
      </c>
      <c r="G473" s="1" t="inlineStr">
        <is>
          <t>Моррис Н.</t>
        </is>
      </c>
      <c r="H473" s="1" t="inlineStr">
        <is>
          <t>70х100/8</t>
        </is>
      </c>
      <c r="I473" s="1" t="n">
        <v>88</v>
      </c>
      <c r="J473" s="1" t="inlineStr">
        <is>
          <t>РИПОЛ Классик</t>
        </is>
      </c>
      <c r="K473" s="1" t="inlineStr">
        <is>
          <t>Пальмира</t>
        </is>
      </c>
      <c r="M473" s="1" t="inlineStr">
        <is>
          <t>2018</t>
        </is>
      </c>
      <c r="N473" s="1" t="inlineStr">
        <is>
          <t>П</t>
        </is>
      </c>
      <c r="O473" s="9" t="n">
        <v>8</v>
      </c>
      <c r="P473" s="1">
        <f>ROUNDUP(994.4*(1-$F$3),2)</f>
        <v/>
      </c>
      <c r="Q473" s="1" t="inlineStr">
        <is>
          <t> </t>
        </is>
      </c>
      <c r="R473" s="1" t="inlineStr">
        <is>
          <t>978-5-386-10994-3</t>
        </is>
      </c>
      <c r="S473" s="1" t="inlineStr">
        <is>
          <t>9785386109943</t>
        </is>
      </c>
      <c r="T473" s="9" t="n">
        <v>10</v>
      </c>
      <c r="U473" s="1">
        <f>ROUNDUP(904*(1-$F$3),2)</f>
        <v/>
      </c>
      <c r="V473" s="1" t="n">
        <v>609</v>
      </c>
      <c r="Y473" s="1" t="inlineStr">
        <is>
          <t>Колонии и Царства: энциклопедия</t>
        </is>
      </c>
      <c r="Z473" s="1" t="inlineStr">
        <is>
          <t>12+</t>
        </is>
      </c>
      <c r="AA473" s="12" t="n">
        <v>43215</v>
      </c>
      <c r="AB473" s="1" t="inlineStr">
        <is>
          <t>Детская литература</t>
        </is>
      </c>
      <c r="AC473" s="1" t="inlineStr">
        <is>
          <t>Познавательная литература для детей</t>
        </is>
      </c>
      <c r="AD473" s="1" t="inlineStr">
        <is>
          <t>История</t>
        </is>
      </c>
      <c r="AE473" s="1" t="inlineStr">
        <is>
          <t>мелованная</t>
        </is>
      </c>
      <c r="AG473" s="1" t="n">
        <v>8616570</v>
      </c>
      <c r="AI473" s="1" t="inlineStr">
        <is>
          <t>4901910000</t>
        </is>
      </c>
    </row>
    <row r="474" customFormat="1" s="1">
      <c r="C474" s="1" t="inlineStr">
        <is>
          <t xml:space="preserve">8472000             </t>
        </is>
      </c>
      <c r="D474" s="1" t="inlineStr">
        <is>
          <t>Бумажные города</t>
        </is>
      </c>
      <c r="E474" s="1" t="inlineStr">
        <is>
          <t>Без ума от тебя. Рейнхардт Д.</t>
        </is>
      </c>
      <c r="F474" s="13" t="inlineStr">
        <is>
          <t>См.обл.</t>
        </is>
      </c>
      <c r="G474" s="1" t="inlineStr">
        <is>
          <t>Рейнхардт Д.</t>
        </is>
      </c>
      <c r="H474" s="1" t="inlineStr">
        <is>
          <t>60х90/16</t>
        </is>
      </c>
      <c r="I474" s="1" t="n">
        <v>256</v>
      </c>
      <c r="J474" s="1" t="inlineStr">
        <is>
          <t>РИПОЛ Классик</t>
        </is>
      </c>
      <c r="M474" s="1" t="inlineStr">
        <is>
          <t>2020</t>
        </is>
      </c>
      <c r="N474" s="1" t="inlineStr">
        <is>
          <t>П</t>
        </is>
      </c>
      <c r="O474" s="9" t="n">
        <v>16</v>
      </c>
      <c r="P474" s="1">
        <f>ROUNDUP(956.8*(1-$F$3),2)</f>
        <v/>
      </c>
      <c r="Q474" s="1" t="inlineStr">
        <is>
          <t> </t>
        </is>
      </c>
      <c r="R474" s="1" t="inlineStr">
        <is>
          <t>978-5-386-10539-6</t>
        </is>
      </c>
      <c r="S474" s="1" t="inlineStr">
        <is>
          <t>9785386105396</t>
        </is>
      </c>
      <c r="T474" s="9" t="n">
        <v>10</v>
      </c>
      <c r="U474" s="1">
        <f>ROUNDUP(869.82*(1-$F$3),2)</f>
        <v/>
      </c>
      <c r="V474" s="1" t="n">
        <v>375</v>
      </c>
      <c r="Y474" s="1" t="inlineStr">
        <is>
          <t>Без ума от тебя</t>
        </is>
      </c>
      <c r="Z474" s="1" t="inlineStr">
        <is>
          <t>16+</t>
        </is>
      </c>
      <c r="AA474" s="12" t="n">
        <v>43157</v>
      </c>
      <c r="AB474" s="1" t="inlineStr">
        <is>
          <t>Художественная литература</t>
        </is>
      </c>
      <c r="AC474" s="1" t="inlineStr">
        <is>
          <t>Зарубежная литература</t>
        </is>
      </c>
      <c r="AD474" s="1" t="inlineStr">
        <is>
          <t>Литература Америки и Австралии</t>
        </is>
      </c>
      <c r="AE474" s="1" t="inlineStr">
        <is>
          <t>офсетная</t>
        </is>
      </c>
      <c r="AG474" s="1" t="n">
        <v>8472000</v>
      </c>
      <c r="AI474" s="1" t="inlineStr">
        <is>
          <t>4901990000</t>
        </is>
      </c>
      <c r="AJ474" s="1" t="inlineStr">
        <is>
          <t>Зпв</t>
        </is>
      </c>
    </row>
    <row r="475" customFormat="1" s="1">
      <c r="C475" s="1" t="inlineStr">
        <is>
          <t>311209</t>
        </is>
      </c>
      <c r="D475" s="1" t="inlineStr">
        <is>
          <t>Бумажные города</t>
        </is>
      </c>
      <c r="E475" s="1" t="inlineStr">
        <is>
          <t>Десять вещей, которые я теперь знаю о любви. Батлер С.</t>
        </is>
      </c>
      <c r="F475" s="13" t="inlineStr">
        <is>
          <t>См.обл.</t>
        </is>
      </c>
      <c r="G475" s="1" t="inlineStr">
        <is>
          <t>Батлер С.</t>
        </is>
      </c>
      <c r="H475" s="1" t="inlineStr">
        <is>
          <t>60х90/16</t>
        </is>
      </c>
      <c r="I475" s="1" t="n">
        <v>288</v>
      </c>
      <c r="J475" s="1" t="inlineStr">
        <is>
          <t>РИПОЛ Классик</t>
        </is>
      </c>
      <c r="M475" s="1" t="inlineStr">
        <is>
          <t>2018</t>
        </is>
      </c>
      <c r="N475" s="1" t="inlineStr">
        <is>
          <t>П</t>
        </is>
      </c>
      <c r="O475" s="9" t="n">
        <v>14</v>
      </c>
      <c r="P475" s="1">
        <f>ROUNDUP(799.4*(1-$F$3),2)</f>
        <v/>
      </c>
      <c r="Q475" s="1" t="inlineStr">
        <is>
          <t> </t>
        </is>
      </c>
      <c r="R475" s="1" t="inlineStr">
        <is>
          <t>978-5-386-07541-5</t>
        </is>
      </c>
      <c r="S475" s="1" t="inlineStr">
        <is>
          <t>9785386075415</t>
        </is>
      </c>
      <c r="T475" s="9" t="n">
        <v>10</v>
      </c>
      <c r="U475" s="1">
        <f>ROUNDUP(726.73*(1-$F$3),2)</f>
        <v/>
      </c>
      <c r="V475" s="1" t="n">
        <v>387</v>
      </c>
      <c r="W475" s="1" t="inlineStr">
        <is>
          <t xml:space="preserve">611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475" s="1" t="inlineStr">
        <is>
          <t xml:space="preserve">Зарубежная проза                                                                                                                </t>
        </is>
      </c>
      <c r="Y475" s="1" t="inlineStr">
        <is>
          <t>Десять вещей, которые я теперь знаю о любви</t>
        </is>
      </c>
      <c r="Z475" s="1" t="inlineStr">
        <is>
          <t>16+</t>
        </is>
      </c>
      <c r="AA475" s="12" t="n">
        <v>42185</v>
      </c>
      <c r="AB475" s="1" t="inlineStr">
        <is>
          <t>Художественная литература</t>
        </is>
      </c>
      <c r="AC475" s="1" t="inlineStr">
        <is>
          <t>Зарубежная литература</t>
        </is>
      </c>
      <c r="AD475" s="1" t="inlineStr">
        <is>
          <t>Европейская литература</t>
        </is>
      </c>
      <c r="AE475" s="1" t="inlineStr">
        <is>
          <t>офсетная</t>
        </is>
      </c>
      <c r="AG475" s="1" t="n">
        <v>6809990</v>
      </c>
      <c r="AI475" s="1" t="inlineStr">
        <is>
          <t>4901990000</t>
        </is>
      </c>
      <c r="AJ475" s="1" t="inlineStr">
        <is>
          <t>Зпв</t>
        </is>
      </c>
    </row>
    <row r="476" customFormat="1" s="1">
      <c r="C476" s="1" t="inlineStr">
        <is>
          <t xml:space="preserve">8190600             </t>
        </is>
      </c>
      <c r="D476" s="1" t="inlineStr">
        <is>
          <t>Бумажные города</t>
        </is>
      </c>
      <c r="E476" s="1" t="inlineStr">
        <is>
          <t>Достучаться до тебя. Уикс С.</t>
        </is>
      </c>
      <c r="F476" s="13" t="inlineStr">
        <is>
          <t>См.обл.</t>
        </is>
      </c>
      <c r="G476" s="1" t="inlineStr">
        <is>
          <t>Уикс С.</t>
        </is>
      </c>
      <c r="H476" s="1" t="inlineStr">
        <is>
          <t>60х90/16</t>
        </is>
      </c>
      <c r="I476" s="1" t="n">
        <v>256</v>
      </c>
      <c r="J476" s="1" t="inlineStr">
        <is>
          <t>РИПОЛ Классик</t>
        </is>
      </c>
      <c r="M476" s="1" t="inlineStr">
        <is>
          <t>2018</t>
        </is>
      </c>
      <c r="N476" s="1" t="inlineStr">
        <is>
          <t>П</t>
        </is>
      </c>
      <c r="O476" s="9" t="n">
        <v>16</v>
      </c>
      <c r="P476" s="1">
        <f>ROUNDUP(956.8*(1-$F$3),2)</f>
        <v/>
      </c>
      <c r="Q476" s="1" t="inlineStr">
        <is>
          <t> </t>
        </is>
      </c>
      <c r="R476" s="1" t="inlineStr">
        <is>
          <t>978-5-386-09289-4</t>
        </is>
      </c>
      <c r="S476" s="1" t="inlineStr">
        <is>
          <t>9785386092894</t>
        </is>
      </c>
      <c r="T476" s="9" t="n">
        <v>10</v>
      </c>
      <c r="U476" s="1">
        <f>ROUNDUP(869.82*(1-$F$3),2)</f>
        <v/>
      </c>
      <c r="V476" s="1" t="n">
        <v>388</v>
      </c>
      <c r="Y476" s="1" t="inlineStr">
        <is>
          <t>Достучаться до тебя</t>
        </is>
      </c>
      <c r="Z476" s="1" t="inlineStr">
        <is>
          <t>16+</t>
        </is>
      </c>
      <c r="AA476" s="12" t="n">
        <v>42900</v>
      </c>
      <c r="AB476" s="1" t="inlineStr">
        <is>
          <t>Художественная литература</t>
        </is>
      </c>
      <c r="AC476" s="1" t="inlineStr">
        <is>
          <t>Зарубежная литература</t>
        </is>
      </c>
      <c r="AD476" s="1" t="inlineStr">
        <is>
          <t>Литература Америки и Австралии</t>
        </is>
      </c>
      <c r="AE476" s="1" t="inlineStr">
        <is>
          <t>офсетная</t>
        </is>
      </c>
      <c r="AG476" s="1" t="n">
        <v>8190600</v>
      </c>
      <c r="AI476" s="1" t="inlineStr">
        <is>
          <t>4901990000</t>
        </is>
      </c>
    </row>
    <row r="477" customFormat="1" s="1">
      <c r="C477" s="1" t="inlineStr">
        <is>
          <t xml:space="preserve">8604890             </t>
        </is>
      </c>
      <c r="D477" s="1" t="inlineStr">
        <is>
          <t>Бумажные города</t>
        </is>
      </c>
      <c r="E477" s="1" t="inlineStr">
        <is>
          <t>Короткая глава в моей невероятной жизни. Рейнхардт Д.</t>
        </is>
      </c>
      <c r="F477" s="13" t="inlineStr">
        <is>
          <t>См.обл.</t>
        </is>
      </c>
      <c r="G477" s="1" t="inlineStr">
        <is>
          <t>Рейнхардт Д.</t>
        </is>
      </c>
      <c r="H477" s="1" t="inlineStr">
        <is>
          <t>60х90/16</t>
        </is>
      </c>
      <c r="I477" s="1" t="n">
        <v>320</v>
      </c>
      <c r="J477" s="1" t="inlineStr">
        <is>
          <t>РИПОЛ Классик</t>
        </is>
      </c>
      <c r="M477" s="1" t="inlineStr">
        <is>
          <t>2018</t>
        </is>
      </c>
      <c r="N477" s="1" t="inlineStr">
        <is>
          <t>П</t>
        </is>
      </c>
      <c r="O477" s="9" t="n">
        <v>49</v>
      </c>
      <c r="P477" s="1">
        <f>ROUNDUP(960*(1-$F$3),2)</f>
        <v/>
      </c>
      <c r="Q477" s="1" t="inlineStr">
        <is>
          <t> </t>
        </is>
      </c>
      <c r="R477" s="1" t="inlineStr">
        <is>
          <t>978-5-386-10585-3</t>
        </is>
      </c>
      <c r="S477" s="1" t="inlineStr">
        <is>
          <t>9785386105853</t>
        </is>
      </c>
      <c r="T477" s="9" t="n">
        <v>10</v>
      </c>
      <c r="U477" s="1">
        <f>ROUNDUP(872.73*(1-$F$3),2)</f>
        <v/>
      </c>
      <c r="V477" s="1" t="n">
        <v>421</v>
      </c>
      <c r="Y477" s="1" t="inlineStr">
        <is>
          <t>Короткая глава в моей невероятной жизни</t>
        </is>
      </c>
      <c r="Z477" s="1" t="inlineStr">
        <is>
          <t>16+</t>
        </is>
      </c>
      <c r="AA477" s="12" t="n">
        <v>43253</v>
      </c>
      <c r="AB477" s="1" t="inlineStr">
        <is>
          <t>Художественная литература</t>
        </is>
      </c>
      <c r="AC477" s="1" t="inlineStr">
        <is>
          <t>Зарубежная литература</t>
        </is>
      </c>
      <c r="AD477" s="1" t="inlineStr">
        <is>
          <t>Литература Америки и Австралии</t>
        </is>
      </c>
      <c r="AE477" s="1" t="inlineStr">
        <is>
          <t>офсетная</t>
        </is>
      </c>
      <c r="AG477" s="1" t="n">
        <v>8604890</v>
      </c>
      <c r="AI477" s="1" t="inlineStr">
        <is>
          <t>4901990000</t>
        </is>
      </c>
      <c r="AJ477" s="1" t="inlineStr">
        <is>
          <t>Зпв</t>
        </is>
      </c>
    </row>
    <row r="478" customFormat="1" s="1">
      <c r="C478" s="1" t="inlineStr">
        <is>
          <t xml:space="preserve">8824550             </t>
        </is>
      </c>
      <c r="D478" s="1" t="inlineStr">
        <is>
          <t>Бумажные города</t>
        </is>
      </c>
      <c r="E478" s="1" t="inlineStr">
        <is>
          <t>Последний маленький голубой конверт: роман. Джонсон М.</t>
        </is>
      </c>
      <c r="F478" s="13" t="inlineStr">
        <is>
          <t>См.обл.</t>
        </is>
      </c>
      <c r="G478" s="1" t="inlineStr">
        <is>
          <t>Джонсон М.</t>
        </is>
      </c>
      <c r="H478" s="1" t="inlineStr">
        <is>
          <t>60х90/16</t>
        </is>
      </c>
      <c r="I478" s="1" t="n">
        <v>271</v>
      </c>
      <c r="J478" s="1" t="inlineStr">
        <is>
          <t>РИПОЛ Классик</t>
        </is>
      </c>
      <c r="K478" s="1" t="inlineStr">
        <is>
          <t>Пальмира</t>
        </is>
      </c>
      <c r="M478" s="1" t="inlineStr">
        <is>
          <t>2018</t>
        </is>
      </c>
      <c r="N478" s="1" t="inlineStr">
        <is>
          <t>П</t>
        </is>
      </c>
      <c r="O478" s="9" t="n">
        <v>16</v>
      </c>
      <c r="P478" s="1">
        <f>ROUNDUP(1050*(1-$F$3),2)</f>
        <v/>
      </c>
      <c r="Q478" s="1" t="inlineStr">
        <is>
          <t> </t>
        </is>
      </c>
      <c r="R478" s="1" t="inlineStr">
        <is>
          <t>978-5-386-12187-7</t>
        </is>
      </c>
      <c r="S478" s="1" t="inlineStr">
        <is>
          <t>9785386121877</t>
        </is>
      </c>
      <c r="T478" s="9" t="n">
        <v>10</v>
      </c>
      <c r="U478" s="1">
        <f>ROUNDUP(954.55*(1-$F$3),2)</f>
        <v/>
      </c>
      <c r="V478" s="1" t="n">
        <v>369</v>
      </c>
      <c r="Y478" s="1" t="inlineStr">
        <is>
          <t>Последний маленький голубой конверт: роман</t>
        </is>
      </c>
      <c r="Z478" s="1" t="inlineStr">
        <is>
          <t>16+</t>
        </is>
      </c>
      <c r="AA478" s="12" t="n">
        <v>43402</v>
      </c>
      <c r="AB478" s="1" t="inlineStr">
        <is>
          <t>Художественная литература</t>
        </is>
      </c>
      <c r="AC478" s="1" t="inlineStr">
        <is>
          <t>Зарубежная литература</t>
        </is>
      </c>
      <c r="AD478" s="1" t="inlineStr">
        <is>
          <t>Литература Америки и Австралии</t>
        </is>
      </c>
      <c r="AE478" s="1" t="inlineStr">
        <is>
          <t>офсетная</t>
        </is>
      </c>
      <c r="AG478" s="1" t="n">
        <v>8824550</v>
      </c>
      <c r="AI478" s="1" t="inlineStr">
        <is>
          <t>4901990000</t>
        </is>
      </c>
    </row>
    <row r="479" customFormat="1" s="1">
      <c r="C479" s="1" t="inlineStr">
        <is>
          <t xml:space="preserve">8474950             </t>
        </is>
      </c>
      <c r="D479" s="1" t="inlineStr">
        <is>
          <t>Бумажные города</t>
        </is>
      </c>
      <c r="E479" s="1" t="inlineStr">
        <is>
          <t>Сердцееды: роман. Новак Э</t>
        </is>
      </c>
      <c r="F479" s="13" t="inlineStr">
        <is>
          <t>См.обл.</t>
        </is>
      </c>
      <c r="G479" s="1" t="inlineStr">
        <is>
          <t>Новак Э</t>
        </is>
      </c>
      <c r="H479" s="1" t="inlineStr">
        <is>
          <t>60х90/16</t>
        </is>
      </c>
      <c r="I479" s="1" t="n">
        <v>336</v>
      </c>
      <c r="J479" s="1" t="inlineStr">
        <is>
          <t>РИПОЛ Классик</t>
        </is>
      </c>
      <c r="M479" s="1" t="inlineStr">
        <is>
          <t>2020</t>
        </is>
      </c>
      <c r="N479" s="1" t="inlineStr">
        <is>
          <t>П</t>
        </is>
      </c>
      <c r="O479" s="9" t="n">
        <v>12</v>
      </c>
      <c r="P479" s="1">
        <f>ROUNDUP(1060*(1-$F$3),2)</f>
        <v/>
      </c>
      <c r="Q479" s="1" t="inlineStr">
        <is>
          <t> </t>
        </is>
      </c>
      <c r="R479" s="1" t="inlineStr">
        <is>
          <t>978-5-386-10547-1</t>
        </is>
      </c>
      <c r="S479" s="1" t="inlineStr">
        <is>
          <t>9785386105471</t>
        </is>
      </c>
      <c r="T479" s="9" t="n">
        <v>10</v>
      </c>
      <c r="U479" s="1">
        <f>ROUNDUP(963.64*(1-$F$3),2)</f>
        <v/>
      </c>
      <c r="V479" s="1" t="n">
        <v>461</v>
      </c>
      <c r="Y479" s="1" t="inlineStr">
        <is>
          <t>Сердцееды: роман</t>
        </is>
      </c>
      <c r="Z479" s="1" t="inlineStr">
        <is>
          <t>16+</t>
        </is>
      </c>
      <c r="AA479" s="12" t="n">
        <v>43166</v>
      </c>
      <c r="AB479" s="1" t="inlineStr">
        <is>
          <t>Художественная литература</t>
        </is>
      </c>
      <c r="AC479" s="1" t="inlineStr">
        <is>
          <t>Зарубежная литература</t>
        </is>
      </c>
      <c r="AD479" s="1" t="inlineStr">
        <is>
          <t>Литература Америки и Австралии</t>
        </is>
      </c>
      <c r="AE479" s="1" t="inlineStr">
        <is>
          <t>офсетная</t>
        </is>
      </c>
      <c r="AG479" s="1" t="n">
        <v>8474950</v>
      </c>
      <c r="AI479" s="1" t="inlineStr">
        <is>
          <t>4901990000</t>
        </is>
      </c>
    </row>
    <row r="480" customFormat="1" s="1">
      <c r="C480" s="1" t="inlineStr">
        <is>
          <t xml:space="preserve">8455630             </t>
        </is>
      </c>
      <c r="D480" s="1" t="inlineStr">
        <is>
          <t>Бумажные города</t>
        </is>
      </c>
      <c r="E480" s="1" t="inlineStr">
        <is>
          <t>Худышка. Кунер Д.</t>
        </is>
      </c>
      <c r="F480" s="13" t="inlineStr">
        <is>
          <t>См.обл.</t>
        </is>
      </c>
      <c r="G480" s="1" t="inlineStr">
        <is>
          <t>Кунер Д.</t>
        </is>
      </c>
      <c r="H480" s="1" t="inlineStr">
        <is>
          <t>60х90/16</t>
        </is>
      </c>
      <c r="I480" s="1" t="n">
        <v>272</v>
      </c>
      <c r="J480" s="1" t="inlineStr">
        <is>
          <t>РИПОЛ Классик</t>
        </is>
      </c>
      <c r="M480" s="1" t="inlineStr">
        <is>
          <t>2019</t>
        </is>
      </c>
      <c r="N480" s="1" t="inlineStr">
        <is>
          <t>П</t>
        </is>
      </c>
      <c r="O480" s="9" t="n">
        <v>12</v>
      </c>
      <c r="P480" s="1">
        <f>ROUNDUP(1023.9*(1-$F$3),2)</f>
        <v/>
      </c>
      <c r="Q480" s="1" t="inlineStr">
        <is>
          <t> </t>
        </is>
      </c>
      <c r="R480" s="1" t="inlineStr">
        <is>
          <t>978-5-386-10334-7</t>
        </is>
      </c>
      <c r="S480" s="1" t="inlineStr">
        <is>
          <t>9785386103347</t>
        </is>
      </c>
      <c r="T480" s="9" t="n">
        <v>10</v>
      </c>
      <c r="U480" s="1">
        <f>ROUNDUP(930.82*(1-$F$3),2)</f>
        <v/>
      </c>
      <c r="V480" s="1" t="n">
        <v>388</v>
      </c>
      <c r="Y480" s="1" t="inlineStr">
        <is>
          <t>Худышка</t>
        </is>
      </c>
      <c r="Z480" s="1" t="inlineStr">
        <is>
          <t>16+</t>
        </is>
      </c>
      <c r="AA480" s="12" t="n">
        <v>43141</v>
      </c>
      <c r="AB480" s="1" t="inlineStr">
        <is>
          <t>Художественная литература</t>
        </is>
      </c>
      <c r="AC480" s="1" t="inlineStr">
        <is>
          <t>Зарубежная литература</t>
        </is>
      </c>
      <c r="AD480" s="1" t="inlineStr">
        <is>
          <t>Литература Америки и Австралии</t>
        </is>
      </c>
      <c r="AE480" s="1" t="inlineStr">
        <is>
          <t>офсетная</t>
        </is>
      </c>
      <c r="AG480" s="1" t="n">
        <v>8455630</v>
      </c>
      <c r="AI480" s="1" t="inlineStr">
        <is>
          <t>4901990000</t>
        </is>
      </c>
    </row>
    <row r="481" customFormat="1" s="1">
      <c r="C481" s="1" t="inlineStr">
        <is>
          <t xml:space="preserve">8679710             </t>
        </is>
      </c>
      <c r="D481" s="1" t="inlineStr">
        <is>
          <t>Бумажные города (pocket-book)</t>
        </is>
      </c>
      <c r="E481" s="1" t="inlineStr">
        <is>
          <t>Стань моим парнем. Уэст К.</t>
        </is>
      </c>
      <c r="F481" s="13" t="inlineStr">
        <is>
          <t>См.обл.</t>
        </is>
      </c>
      <c r="G481" s="1" t="inlineStr">
        <is>
          <t>Уэст К.</t>
        </is>
      </c>
      <c r="H481" s="1" t="inlineStr">
        <is>
          <t>76х100/32</t>
        </is>
      </c>
      <c r="I481" s="1" t="n">
        <v>320</v>
      </c>
      <c r="J481" s="1" t="inlineStr">
        <is>
          <t>РИПОЛ Классик</t>
        </is>
      </c>
      <c r="M481" s="1" t="inlineStr">
        <is>
          <t>2020</t>
        </is>
      </c>
      <c r="N481" s="1" t="inlineStr">
        <is>
          <t>О</t>
        </is>
      </c>
      <c r="O481" s="9" t="n">
        <v>20</v>
      </c>
      <c r="P481" s="1">
        <f>ROUNDUP(840*(1-$F$3),2)</f>
        <v/>
      </c>
      <c r="Q481" s="1" t="inlineStr">
        <is>
          <t> </t>
        </is>
      </c>
      <c r="R481" s="1" t="inlineStr">
        <is>
          <t>978-5-386-10682-9</t>
        </is>
      </c>
      <c r="S481" s="1" t="inlineStr">
        <is>
          <t>9785386106829</t>
        </is>
      </c>
      <c r="T481" s="9" t="n">
        <v>10</v>
      </c>
      <c r="U481" s="1">
        <f>ROUNDUP(763.64*(1-$F$3),2)</f>
        <v/>
      </c>
      <c r="V481" s="1" t="n">
        <v>241</v>
      </c>
      <c r="Y481" s="1" t="inlineStr">
        <is>
          <t>Стань моим парнем</t>
        </is>
      </c>
      <c r="Z481" s="1" t="inlineStr">
        <is>
          <t>16+</t>
        </is>
      </c>
      <c r="AA481" s="12" t="n">
        <v>43278</v>
      </c>
      <c r="AB481" s="1" t="inlineStr">
        <is>
          <t>Художественная литература</t>
        </is>
      </c>
      <c r="AC481" s="1" t="inlineStr">
        <is>
          <t>Зарубежная литература</t>
        </is>
      </c>
      <c r="AD481" s="1" t="inlineStr">
        <is>
          <t>Литература Америки и Австралии</t>
        </is>
      </c>
      <c r="AE481" s="1" t="inlineStr">
        <is>
          <t>офсетная</t>
        </is>
      </c>
      <c r="AG481" s="1" t="n">
        <v>8679710</v>
      </c>
      <c r="AI481" s="1" t="inlineStr">
        <is>
          <t>4901990000</t>
        </is>
      </c>
    </row>
    <row r="482" customFormat="1" s="1">
      <c r="C482" s="1" t="inlineStr">
        <is>
          <t xml:space="preserve">9150950             </t>
        </is>
      </c>
      <c r="D482" s="1" t="inlineStr">
        <is>
          <t>В поисках утраченного времени</t>
        </is>
      </c>
      <c r="E482" s="1" t="inlineStr">
        <is>
          <t>Детские. Ларбо В.</t>
        </is>
      </c>
      <c r="F482" s="13" t="inlineStr">
        <is>
          <t>См.обл.</t>
        </is>
      </c>
      <c r="G482" s="1" t="inlineStr">
        <is>
          <t>Ларбо В.</t>
        </is>
      </c>
      <c r="H482" s="1" t="inlineStr">
        <is>
          <t>84х108/32</t>
        </is>
      </c>
      <c r="I482" s="1" t="n">
        <v>230</v>
      </c>
      <c r="J482" s="1" t="inlineStr">
        <is>
          <t>РИПОЛ Классик</t>
        </is>
      </c>
      <c r="M482" s="1" t="inlineStr">
        <is>
          <t>2019</t>
        </is>
      </c>
      <c r="N482" s="1" t="inlineStr">
        <is>
          <t>О</t>
        </is>
      </c>
      <c r="O482" s="9" t="n">
        <v>18</v>
      </c>
      <c r="P482" s="1">
        <f>ROUNDUP(710*(1-$F$3),2)</f>
        <v/>
      </c>
      <c r="Q482" s="1" t="inlineStr">
        <is>
          <t> </t>
        </is>
      </c>
      <c r="R482" s="1" t="inlineStr">
        <is>
          <t>978-5-386-13463-1</t>
        </is>
      </c>
      <c r="S482" s="1" t="inlineStr">
        <is>
          <t>9785386134631</t>
        </is>
      </c>
      <c r="T482" s="9" t="n">
        <v>22</v>
      </c>
      <c r="U482" s="1">
        <f>ROUNDUP(581.97*(1-$F$3),2)</f>
        <v/>
      </c>
      <c r="V482" s="1" t="n">
        <v>214</v>
      </c>
      <c r="Y482" s="1" t="inlineStr">
        <is>
          <t>Детские</t>
        </is>
      </c>
      <c r="Z482" s="1" t="inlineStr">
        <is>
          <t>16+</t>
        </is>
      </c>
      <c r="AA482" s="12" t="n">
        <v>43717</v>
      </c>
      <c r="AB482" s="1" t="inlineStr">
        <is>
          <t>Художественная литература</t>
        </is>
      </c>
      <c r="AC482" s="1" t="inlineStr">
        <is>
          <t>Зарубежная литература</t>
        </is>
      </c>
      <c r="AD482" s="1" t="inlineStr">
        <is>
          <t>Европейская литература</t>
        </is>
      </c>
      <c r="AE482" s="1" t="inlineStr">
        <is>
          <t>офсетная</t>
        </is>
      </c>
      <c r="AG482" s="1" t="n">
        <v>9150950</v>
      </c>
      <c r="AI482" s="1" t="inlineStr">
        <is>
          <t>4901990000</t>
        </is>
      </c>
    </row>
    <row r="483" customFormat="1" s="1">
      <c r="C483" s="1" t="inlineStr">
        <is>
          <t xml:space="preserve">8558580             </t>
        </is>
      </c>
      <c r="D483" s="1" t="inlineStr">
        <is>
          <t>В поисках утраченного времени</t>
        </is>
      </c>
      <c r="E483" s="1" t="inlineStr">
        <is>
          <t>Конец парада. Т.1. Каждому свое: роман. Форд Ф.М.</t>
        </is>
      </c>
      <c r="F483" s="13" t="inlineStr">
        <is>
          <t>См.обл.</t>
        </is>
      </c>
      <c r="G483" s="1" t="inlineStr">
        <is>
          <t>Форд Ф.М.</t>
        </is>
      </c>
      <c r="H483" s="1" t="inlineStr">
        <is>
          <t>60х90/16</t>
        </is>
      </c>
      <c r="I483" s="1" t="n">
        <v>384</v>
      </c>
      <c r="J483" s="1" t="inlineStr">
        <is>
          <t>РИПОЛ Классик</t>
        </is>
      </c>
      <c r="M483" s="1" t="inlineStr">
        <is>
          <t>2020</t>
        </is>
      </c>
      <c r="N483" s="1" t="inlineStr">
        <is>
          <t>П</t>
        </is>
      </c>
      <c r="O483" s="9" t="n">
        <v>8</v>
      </c>
      <c r="P483" s="1">
        <f>ROUNDUP(1180*(1-$F$3),2)</f>
        <v/>
      </c>
      <c r="Q483" s="1" t="inlineStr">
        <is>
          <t> </t>
        </is>
      </c>
      <c r="R483" s="1" t="inlineStr">
        <is>
          <t>978-5-386-10538-9</t>
        </is>
      </c>
      <c r="S483" s="1" t="inlineStr">
        <is>
          <t>9785386105389</t>
        </is>
      </c>
      <c r="T483" s="9" t="n">
        <v>10</v>
      </c>
      <c r="U483" s="1">
        <f>ROUNDUP(1072.73*(1-$F$3),2)</f>
        <v/>
      </c>
      <c r="V483" s="1" t="n">
        <v>509</v>
      </c>
      <c r="Y483" s="1" t="inlineStr">
        <is>
          <t>Конец парада. Т.1. Каждому свое: роман</t>
        </is>
      </c>
      <c r="Z483" s="1" t="inlineStr">
        <is>
          <t>18+</t>
        </is>
      </c>
      <c r="AA483" s="12" t="n">
        <v>43200</v>
      </c>
      <c r="AB483" s="1" t="inlineStr">
        <is>
          <t>Художественная литература</t>
        </is>
      </c>
      <c r="AC483" s="1" t="inlineStr">
        <is>
          <t>Зарубежная литература</t>
        </is>
      </c>
      <c r="AD483" s="1" t="inlineStr">
        <is>
          <t>Европейская литература</t>
        </is>
      </c>
      <c r="AE483" s="1" t="inlineStr">
        <is>
          <t>офсетная</t>
        </is>
      </c>
      <c r="AG483" s="1" t="n">
        <v>8558580</v>
      </c>
      <c r="AI483" s="1" t="inlineStr">
        <is>
          <t>4901990000</t>
        </is>
      </c>
    </row>
    <row r="484" customFormat="1" s="1">
      <c r="C484" s="1" t="inlineStr">
        <is>
          <t xml:space="preserve">8576630             </t>
        </is>
      </c>
      <c r="D484" s="1" t="inlineStr">
        <is>
          <t>В поисках утраченного времени</t>
        </is>
      </c>
      <c r="E484" s="1" t="inlineStr">
        <is>
          <t>Третья фиалка. Крейн С.</t>
        </is>
      </c>
      <c r="F484" s="13" t="inlineStr">
        <is>
          <t>См.обл.</t>
        </is>
      </c>
      <c r="G484" s="1" t="inlineStr">
        <is>
          <t>Крейн С.</t>
        </is>
      </c>
      <c r="H484" s="1" t="inlineStr">
        <is>
          <t>60х90/16</t>
        </is>
      </c>
      <c r="I484" s="1" t="n">
        <v>244</v>
      </c>
      <c r="J484" s="1" t="inlineStr">
        <is>
          <t>РИПОЛ Классик</t>
        </is>
      </c>
      <c r="M484" s="1" t="inlineStr">
        <is>
          <t>2018</t>
        </is>
      </c>
      <c r="N484" s="1" t="inlineStr">
        <is>
          <t>П</t>
        </is>
      </c>
      <c r="O484" s="9" t="n">
        <v>12</v>
      </c>
      <c r="P484" s="1">
        <f>ROUNDUP(1078.4*(1-$F$3),2)</f>
        <v/>
      </c>
      <c r="Q484" s="1" t="inlineStr">
        <is>
          <t> </t>
        </is>
      </c>
      <c r="R484" s="1" t="inlineStr">
        <is>
          <t>978-5-386-10681-2</t>
        </is>
      </c>
      <c r="S484" s="1" t="inlineStr">
        <is>
          <t>9785386106812</t>
        </is>
      </c>
      <c r="T484" s="9" t="n">
        <v>10</v>
      </c>
      <c r="U484" s="1">
        <f>ROUNDUP(980.36*(1-$F$3),2)</f>
        <v/>
      </c>
      <c r="V484" s="1" t="n">
        <v>364</v>
      </c>
      <c r="Y484" s="1" t="inlineStr">
        <is>
          <t>Третья фиалка</t>
        </is>
      </c>
      <c r="Z484" s="1" t="inlineStr">
        <is>
          <t>16+</t>
        </is>
      </c>
      <c r="AA484" s="12" t="n">
        <v>43227</v>
      </c>
      <c r="AB484" s="1" t="inlineStr">
        <is>
          <t>Художественная литература</t>
        </is>
      </c>
      <c r="AC484" s="1" t="inlineStr">
        <is>
          <t>Зарубежная литература</t>
        </is>
      </c>
      <c r="AD484" s="1" t="inlineStr">
        <is>
          <t>Литература Америки и Австралии</t>
        </is>
      </c>
      <c r="AE484" s="1" t="inlineStr">
        <is>
          <t>офсетная</t>
        </is>
      </c>
      <c r="AG484" s="1" t="n">
        <v>8576630</v>
      </c>
      <c r="AI484" s="1" t="inlineStr">
        <is>
          <t>4901990000</t>
        </is>
      </c>
    </row>
    <row r="485" customFormat="1" s="1">
      <c r="C485" s="1" t="inlineStr">
        <is>
          <t xml:space="preserve">9690150             </t>
        </is>
      </c>
      <c r="D485" s="1" t="inlineStr">
        <is>
          <t>Великие биографии</t>
        </is>
      </c>
      <c r="E485" s="1" t="inlineStr">
        <is>
          <t>Байрон. Диккенс. Две эпохи английской литературы. Анненская А.Н., Александров Н.Н.</t>
        </is>
      </c>
      <c r="F485" s="13" t="inlineStr">
        <is>
          <t>См.обл.</t>
        </is>
      </c>
      <c r="G485" s="1" t="inlineStr">
        <is>
          <t>Анненская А.Н., Александров Н.Н.</t>
        </is>
      </c>
      <c r="H485" s="1" t="inlineStr">
        <is>
          <t>84х108/32</t>
        </is>
      </c>
      <c r="I485" s="1" t="n">
        <v>288</v>
      </c>
      <c r="J485" s="1" t="inlineStr">
        <is>
          <t>РИПОЛ Классик</t>
        </is>
      </c>
      <c r="M485" s="1" t="inlineStr">
        <is>
          <t>2021</t>
        </is>
      </c>
      <c r="N485" s="1" t="inlineStr">
        <is>
          <t>П</t>
        </is>
      </c>
      <c r="O485" s="9" t="n">
        <v>10</v>
      </c>
      <c r="P485" s="1">
        <f>ROUNDUP(940*(1-$F$3),2)</f>
        <v/>
      </c>
      <c r="Q485" s="1" t="inlineStr">
        <is>
          <t> </t>
        </is>
      </c>
      <c r="R485" s="1" t="inlineStr">
        <is>
          <t>978-5-386-14239-1</t>
        </is>
      </c>
      <c r="S485" s="1" t="inlineStr">
        <is>
          <t>9785386142391</t>
        </is>
      </c>
      <c r="T485" s="9" t="n">
        <v>10</v>
      </c>
      <c r="U485" s="1">
        <f>ROUNDUP(854.55*(1-$F$3),2)</f>
        <v/>
      </c>
      <c r="V485" s="1" t="n">
        <v>332</v>
      </c>
      <c r="Y485" s="1" t="inlineStr">
        <is>
          <t>Байрон. Диккенс. Две эпохи английской литературы</t>
        </is>
      </c>
      <c r="Z485" s="1" t="inlineStr">
        <is>
          <t>12+</t>
        </is>
      </c>
      <c r="AA485" s="12" t="n">
        <v>44314</v>
      </c>
      <c r="AB485" s="1" t="inlineStr">
        <is>
          <t>Художественно-документальная проза</t>
        </is>
      </c>
      <c r="AC485" s="1" t="inlineStr">
        <is>
          <t>Биографии. Мемуары</t>
        </is>
      </c>
      <c r="AD485" s="1" t="inlineStr">
        <is>
          <t>Биографии деятелей культуры и искусства</t>
        </is>
      </c>
      <c r="AE485" s="1" t="inlineStr">
        <is>
          <t>офсетная</t>
        </is>
      </c>
      <c r="AG485" s="1" t="n">
        <v>9690150</v>
      </c>
      <c r="AI485" s="1" t="inlineStr">
        <is>
          <t>4901990000</t>
        </is>
      </c>
    </row>
    <row r="486" customFormat="1" s="1">
      <c r="C486" s="1" t="inlineStr">
        <is>
          <t xml:space="preserve">9686590             </t>
        </is>
      </c>
      <c r="D486" s="1" t="inlineStr">
        <is>
          <t>Великие биографии</t>
        </is>
      </c>
      <c r="E486" s="1" t="inlineStr">
        <is>
          <t>Гаврила Державин. Михаил Сперанский. Лики права в Российской империи. Брилиант С.М., Южаков С.Н.</t>
        </is>
      </c>
      <c r="F486" s="13" t="inlineStr">
        <is>
          <t>См.обл.</t>
        </is>
      </c>
      <c r="G486" s="1" t="inlineStr">
        <is>
          <t>Брилиант С.М., Южаков С.Н.</t>
        </is>
      </c>
      <c r="H486" s="1" t="inlineStr">
        <is>
          <t>84х108/32</t>
        </is>
      </c>
      <c r="I486" s="1" t="n">
        <v>256</v>
      </c>
      <c r="J486" s="1" t="inlineStr">
        <is>
          <t>РИПОЛ Классик</t>
        </is>
      </c>
      <c r="M486" s="1" t="inlineStr">
        <is>
          <t>2021</t>
        </is>
      </c>
      <c r="N486" s="1" t="inlineStr">
        <is>
          <t>П</t>
        </is>
      </c>
      <c r="O486" s="9" t="n">
        <v>10</v>
      </c>
      <c r="P486" s="1">
        <f>ROUNDUP(1020*(1-$F$3),2)</f>
        <v/>
      </c>
      <c r="Q486" s="1" t="inlineStr">
        <is>
          <t> </t>
        </is>
      </c>
      <c r="R486" s="1" t="inlineStr">
        <is>
          <t>978-5-386-14228-5</t>
        </is>
      </c>
      <c r="S486" s="1" t="inlineStr">
        <is>
          <t>9785386142285</t>
        </is>
      </c>
      <c r="T486" s="9" t="n">
        <v>10</v>
      </c>
      <c r="U486" s="1">
        <f>ROUNDUP(927.27*(1-$F$3),2)</f>
        <v/>
      </c>
      <c r="V486" s="1" t="n">
        <v>308</v>
      </c>
      <c r="Y486" s="1" t="inlineStr">
        <is>
          <t>Гаврила Державин. Михаил Сперанский. Лики права в Российской империи</t>
        </is>
      </c>
      <c r="Z486" s="1" t="inlineStr">
        <is>
          <t>12+</t>
        </is>
      </c>
      <c r="AA486" s="12" t="n">
        <v>44307</v>
      </c>
      <c r="AB486" s="1" t="inlineStr">
        <is>
          <t>Художественно-документальная проза</t>
        </is>
      </c>
      <c r="AC486" s="1" t="inlineStr">
        <is>
          <t>Биографии. Мемуары</t>
        </is>
      </c>
      <c r="AD486" s="1" t="inlineStr">
        <is>
          <t>Биографии деятелей культуры и искусства</t>
        </is>
      </c>
      <c r="AE486" s="1" t="inlineStr">
        <is>
          <t>офсетная</t>
        </is>
      </c>
      <c r="AG486" s="1" t="n">
        <v>9686590</v>
      </c>
      <c r="AI486" s="1" t="inlineStr">
        <is>
          <t>4901990000</t>
        </is>
      </c>
    </row>
    <row r="487" customFormat="1" s="1">
      <c r="C487" s="1" t="inlineStr">
        <is>
          <t xml:space="preserve">9686560             </t>
        </is>
      </c>
      <c r="D487" s="1" t="inlineStr">
        <is>
          <t>Великие биографии</t>
        </is>
      </c>
      <c r="E487" s="1" t="inlineStr">
        <is>
          <t>Гай Юлий Цезарь. Цицерон. Величайшие деятели Римской республики. Орлов Е.Н.</t>
        </is>
      </c>
      <c r="F487" s="13" t="inlineStr">
        <is>
          <t>См.обл.</t>
        </is>
      </c>
      <c r="G487" s="1" t="inlineStr">
        <is>
          <t>Орлов Е.Н.</t>
        </is>
      </c>
      <c r="H487" s="1" t="inlineStr">
        <is>
          <t>84х108/32</t>
        </is>
      </c>
      <c r="I487" s="1" t="n">
        <v>192</v>
      </c>
      <c r="J487" s="1" t="inlineStr">
        <is>
          <t>РИПОЛ Классик</t>
        </is>
      </c>
      <c r="M487" s="1" t="inlineStr">
        <is>
          <t>2021</t>
        </is>
      </c>
      <c r="N487" s="1" t="inlineStr">
        <is>
          <t>П</t>
        </is>
      </c>
      <c r="O487" s="9" t="n">
        <v>6</v>
      </c>
      <c r="P487" s="1">
        <f>ROUNDUP(880*(1-$F$3),2)</f>
        <v/>
      </c>
      <c r="Q487" s="1" t="inlineStr">
        <is>
          <t> </t>
        </is>
      </c>
      <c r="R487" s="1" t="inlineStr">
        <is>
          <t>978-5-386-14232-2</t>
        </is>
      </c>
      <c r="S487" s="1" t="inlineStr">
        <is>
          <t>9785386142322</t>
        </is>
      </c>
      <c r="T487" s="9" t="n">
        <v>10</v>
      </c>
      <c r="U487" s="1">
        <f>ROUNDUP(800*(1-$F$3),2)</f>
        <v/>
      </c>
      <c r="V487" s="1" t="n">
        <v>259</v>
      </c>
      <c r="Y487" s="1" t="inlineStr">
        <is>
          <t>Гай Юлий Цезарь. Цицерон. Величайшие деятели Римской республики</t>
        </is>
      </c>
      <c r="Z487" s="1" t="inlineStr">
        <is>
          <t>12+</t>
        </is>
      </c>
      <c r="AA487" s="12" t="n">
        <v>44354</v>
      </c>
      <c r="AB487" s="1" t="inlineStr">
        <is>
          <t>Художественно-документальная проза</t>
        </is>
      </c>
      <c r="AC487" s="1" t="inlineStr">
        <is>
          <t>Биографии. Мемуары</t>
        </is>
      </c>
      <c r="AD487" s="1" t="inlineStr">
        <is>
          <t>Биографии общественных и исторических деятелей</t>
        </is>
      </c>
      <c r="AE487" s="1" t="inlineStr">
        <is>
          <t>офсетная</t>
        </is>
      </c>
      <c r="AG487" s="1" t="n">
        <v>9686560</v>
      </c>
      <c r="AI487" s="1" t="inlineStr">
        <is>
          <t>4901990000</t>
        </is>
      </c>
    </row>
    <row r="488" customFormat="1" s="1">
      <c r="C488" s="1" t="inlineStr">
        <is>
          <t xml:space="preserve">9690830             </t>
        </is>
      </c>
      <c r="D488" s="1" t="inlineStr">
        <is>
          <t>Великие биографии</t>
        </is>
      </c>
      <c r="E488" s="1" t="inlineStr">
        <is>
          <t>Даниель Дефо. Джонатан Свифт. «Робинзон» и «Гулливер» в истории Англии XVIII века. Анненская А.Н.</t>
        </is>
      </c>
      <c r="F488" s="13" t="inlineStr">
        <is>
          <t>См.обл.</t>
        </is>
      </c>
      <c r="G488" s="1" t="inlineStr">
        <is>
          <t>Анненская А.Н.</t>
        </is>
      </c>
      <c r="H488" s="1" t="inlineStr">
        <is>
          <t>84х108/32</t>
        </is>
      </c>
      <c r="I488" s="1" t="n">
        <v>256</v>
      </c>
      <c r="J488" s="1" t="inlineStr">
        <is>
          <t>РИПОЛ Классик</t>
        </is>
      </c>
      <c r="M488" s="1" t="inlineStr">
        <is>
          <t>2021</t>
        </is>
      </c>
      <c r="N488" s="1" t="inlineStr">
        <is>
          <t>П</t>
        </is>
      </c>
      <c r="O488" s="9" t="n">
        <v>10</v>
      </c>
      <c r="P488" s="1">
        <f>ROUNDUP(1020*(1-$F$3),2)</f>
        <v/>
      </c>
      <c r="Q488" s="1" t="inlineStr">
        <is>
          <t> </t>
        </is>
      </c>
      <c r="R488" s="1" t="inlineStr">
        <is>
          <t>978-5-386-14233-9</t>
        </is>
      </c>
      <c r="S488" s="1" t="inlineStr">
        <is>
          <t>9785386142339</t>
        </is>
      </c>
      <c r="T488" s="9" t="n">
        <v>10</v>
      </c>
      <c r="U488" s="1">
        <f>ROUNDUP(927.27*(1-$F$3),2)</f>
        <v/>
      </c>
      <c r="V488" s="1" t="n">
        <v>306</v>
      </c>
      <c r="Y488" s="1" t="inlineStr">
        <is>
          <t>Даниель Дефо. Джонатан Свифт. «Робинзон» и «Гулливер» в истории Англии XVIII века</t>
        </is>
      </c>
      <c r="Z488" s="1" t="inlineStr">
        <is>
          <t>12+</t>
        </is>
      </c>
      <c r="AA488" s="12" t="n">
        <v>44316</v>
      </c>
      <c r="AB488" s="1" t="inlineStr">
        <is>
          <t>Художественно-документальная проза</t>
        </is>
      </c>
      <c r="AC488" s="1" t="inlineStr">
        <is>
          <t>Биографии. Мемуары</t>
        </is>
      </c>
      <c r="AD488" s="1" t="inlineStr">
        <is>
          <t>Биографии деятелей культуры и искусства</t>
        </is>
      </c>
      <c r="AE488" s="1" t="inlineStr">
        <is>
          <t>офсетная</t>
        </is>
      </c>
      <c r="AG488" s="1" t="n">
        <v>9690830</v>
      </c>
      <c r="AI488" s="1" t="inlineStr">
        <is>
          <t>4901990000</t>
        </is>
      </c>
    </row>
    <row r="489" customFormat="1" s="1">
      <c r="C489" s="1" t="inlineStr">
        <is>
          <t xml:space="preserve">9702190             </t>
        </is>
      </c>
      <c r="D489" s="1" t="inlineStr">
        <is>
          <t>Великие биографии</t>
        </is>
      </c>
      <c r="E489" s="1" t="inlineStr">
        <is>
          <t>Джордж Вашингтон. Бенджамин Франклин. Отцы-основатели США. Чепинский В.В., Абрамов Я.В</t>
        </is>
      </c>
      <c r="F489" s="13" t="inlineStr">
        <is>
          <t>См.обл.</t>
        </is>
      </c>
      <c r="G489" s="1" t="inlineStr">
        <is>
          <t>Чепинский В.В., Абрамов Я.В.</t>
        </is>
      </c>
      <c r="H489" s="1" t="inlineStr">
        <is>
          <t>84х108/32</t>
        </is>
      </c>
      <c r="I489" s="1" t="n">
        <v>288</v>
      </c>
      <c r="J489" s="1" t="inlineStr">
        <is>
          <t>РИПОЛ Классик</t>
        </is>
      </c>
      <c r="M489" s="1" t="inlineStr">
        <is>
          <t>2021</t>
        </is>
      </c>
      <c r="N489" s="1" t="inlineStr">
        <is>
          <t>П</t>
        </is>
      </c>
      <c r="O489" s="9" t="n">
        <v>10</v>
      </c>
      <c r="P489" s="1">
        <f>ROUNDUP(1020*(1-$F$3),2)</f>
        <v/>
      </c>
      <c r="Q489" s="1" t="inlineStr">
        <is>
          <t> </t>
        </is>
      </c>
      <c r="R489" s="1" t="inlineStr">
        <is>
          <t>978-5-386-14178-3</t>
        </is>
      </c>
      <c r="S489" s="1" t="inlineStr">
        <is>
          <t>9785386141783</t>
        </is>
      </c>
      <c r="T489" s="9" t="n">
        <v>10</v>
      </c>
      <c r="U489" s="1">
        <f>ROUNDUP(927.27*(1-$F$3),2)</f>
        <v/>
      </c>
      <c r="V489" s="1" t="n">
        <v>335</v>
      </c>
      <c r="Y489" s="1" t="inlineStr">
        <is>
          <t>Джордж Вашингтон. Бенджамин Франклин. Отцы-основатели США</t>
        </is>
      </c>
      <c r="Z489" s="1" t="inlineStr">
        <is>
          <t>12+</t>
        </is>
      </c>
      <c r="AA489" s="12" t="n">
        <v>44347</v>
      </c>
      <c r="AB489" s="1" t="inlineStr">
        <is>
          <t>Художественно-документальная проза</t>
        </is>
      </c>
      <c r="AC489" s="1" t="inlineStr">
        <is>
          <t>Биографии. Мемуары</t>
        </is>
      </c>
      <c r="AD489" s="1" t="inlineStr">
        <is>
          <t>Биографии общественных и исторических деятелей</t>
        </is>
      </c>
      <c r="AE489" s="1" t="inlineStr">
        <is>
          <t>офсетная</t>
        </is>
      </c>
      <c r="AG489" s="1" t="n">
        <v>9702190</v>
      </c>
      <c r="AI489" s="1" t="inlineStr">
        <is>
          <t>4901990000</t>
        </is>
      </c>
    </row>
    <row r="490" customFormat="1" s="1">
      <c r="C490" s="1" t="inlineStr">
        <is>
          <t xml:space="preserve">9680470             </t>
        </is>
      </c>
      <c r="D490" s="1" t="inlineStr">
        <is>
          <t>Великие биографии</t>
        </is>
      </c>
      <c r="E490" s="1" t="inlineStr">
        <is>
          <t>Джузеппе Гарибальди. Фердинанд Лассаль. Народные вожди и мыслители. Цомакион А.И., Классен В.Я.</t>
        </is>
      </c>
      <c r="F490" s="13" t="inlineStr">
        <is>
          <t>См.обл.</t>
        </is>
      </c>
      <c r="G490" s="1" t="inlineStr">
        <is>
          <t>Цомакион А.И., Классен В.Я.</t>
        </is>
      </c>
      <c r="H490" s="1" t="inlineStr">
        <is>
          <t>84х108/32</t>
        </is>
      </c>
      <c r="I490" s="1" t="n">
        <v>448</v>
      </c>
      <c r="J490" s="1" t="inlineStr">
        <is>
          <t>РИПОЛ Классик</t>
        </is>
      </c>
      <c r="M490" s="1" t="inlineStr">
        <is>
          <t>2021</t>
        </is>
      </c>
      <c r="N490" s="1" t="inlineStr">
        <is>
          <t>П</t>
        </is>
      </c>
      <c r="O490" s="9" t="n">
        <v>6</v>
      </c>
      <c r="P490" s="1">
        <f>ROUNDUP(1020*(1-$F$3),2)</f>
        <v/>
      </c>
      <c r="Q490" s="1" t="inlineStr">
        <is>
          <t> </t>
        </is>
      </c>
      <c r="R490" s="1" t="inlineStr">
        <is>
          <t>978-5-386-14201-8</t>
        </is>
      </c>
      <c r="S490" s="1" t="inlineStr">
        <is>
          <t>9785386142018</t>
        </is>
      </c>
      <c r="T490" s="9" t="n">
        <v>10</v>
      </c>
      <c r="U490" s="1">
        <f>ROUNDUP(927.27*(1-$F$3),2)</f>
        <v/>
      </c>
      <c r="V490" s="1" t="n">
        <v>465</v>
      </c>
      <c r="Y490" s="1" t="inlineStr">
        <is>
          <t>Джузеппе Гарибальди. Фердинанд Лассаль. Народные вожди и мыслители</t>
        </is>
      </c>
      <c r="Z490" s="1" t="inlineStr">
        <is>
          <t>12+</t>
        </is>
      </c>
      <c r="AA490" s="12" t="n">
        <v>44300</v>
      </c>
      <c r="AB490" s="1" t="inlineStr">
        <is>
          <t>Художественно-документальная проза</t>
        </is>
      </c>
      <c r="AC490" s="1" t="inlineStr">
        <is>
          <t>Биографии. Мемуары</t>
        </is>
      </c>
      <c r="AD490" s="1" t="inlineStr">
        <is>
          <t>Биографии общественных и исторических деятелей</t>
        </is>
      </c>
      <c r="AE490" s="1" t="inlineStr">
        <is>
          <t>офсетная</t>
        </is>
      </c>
      <c r="AG490" s="1" t="n">
        <v>9680470</v>
      </c>
      <c r="AI490" s="1" t="inlineStr">
        <is>
          <t>4901990000</t>
        </is>
      </c>
    </row>
    <row r="491" customFormat="1" s="1">
      <c r="C491" s="1" t="inlineStr">
        <is>
          <t xml:space="preserve">9688070             </t>
        </is>
      </c>
      <c r="D491" s="1" t="inlineStr">
        <is>
          <t>Великие биографии</t>
        </is>
      </c>
      <c r="E491" s="1" t="inlineStr">
        <is>
          <t>Оноре де Бальзак. Жорж Санд. О жизни и дружбе французских писателей. Анненская А.Н.</t>
        </is>
      </c>
      <c r="F491" s="13" t="inlineStr">
        <is>
          <t>См.обл.</t>
        </is>
      </c>
      <c r="G491" s="1" t="inlineStr">
        <is>
          <t>Анненская А.Н.</t>
        </is>
      </c>
      <c r="H491" s="1" t="inlineStr">
        <is>
          <t>84х108/32</t>
        </is>
      </c>
      <c r="I491" s="1" t="n">
        <v>288</v>
      </c>
      <c r="J491" s="1" t="inlineStr">
        <is>
          <t>РИПОЛ Классик</t>
        </is>
      </c>
      <c r="M491" s="1" t="inlineStr">
        <is>
          <t>2021</t>
        </is>
      </c>
      <c r="N491" s="1" t="inlineStr">
        <is>
          <t>П</t>
        </is>
      </c>
      <c r="O491" s="9" t="n">
        <v>10</v>
      </c>
      <c r="P491" s="1">
        <f>ROUNDUP(940*(1-$F$3),2)</f>
        <v/>
      </c>
      <c r="Q491" s="1" t="inlineStr">
        <is>
          <t> </t>
        </is>
      </c>
      <c r="R491" s="1" t="inlineStr">
        <is>
          <t>978-5-386-14216-2</t>
        </is>
      </c>
      <c r="S491" s="1" t="inlineStr">
        <is>
          <t>9785386142162</t>
        </is>
      </c>
      <c r="T491" s="9" t="n">
        <v>10</v>
      </c>
      <c r="U491" s="1">
        <f>ROUNDUP(854.55*(1-$F$3),2)</f>
        <v/>
      </c>
      <c r="V491" s="1" t="n">
        <v>333</v>
      </c>
      <c r="Y491" s="1" t="inlineStr">
        <is>
          <t>Оноре де Бальзак. Жорж Санд. О жизни и дружбе французских писателей</t>
        </is>
      </c>
      <c r="Z491" s="1" t="inlineStr">
        <is>
          <t>12+</t>
        </is>
      </c>
      <c r="AA491" s="12" t="n">
        <v>44307</v>
      </c>
      <c r="AB491" s="1" t="inlineStr">
        <is>
          <t>Художественно-документальная проза</t>
        </is>
      </c>
      <c r="AC491" s="1" t="inlineStr">
        <is>
          <t>Биографии. Мемуары</t>
        </is>
      </c>
      <c r="AD491" s="1" t="inlineStr">
        <is>
          <t>Биографии деятелей культуры и искусства</t>
        </is>
      </c>
      <c r="AE491" s="1" t="inlineStr">
        <is>
          <t>офсетная</t>
        </is>
      </c>
      <c r="AG491" s="1" t="n">
        <v>9688070</v>
      </c>
      <c r="AI491" s="1" t="inlineStr">
        <is>
          <t>4901990000</t>
        </is>
      </c>
    </row>
    <row r="492" customFormat="1" s="1">
      <c r="C492" s="1" t="inlineStr">
        <is>
          <t xml:space="preserve">9686600             </t>
        </is>
      </c>
      <c r="D492" s="1" t="inlineStr">
        <is>
          <t>Великие биографии</t>
        </is>
      </c>
      <c r="E492" s="1" t="inlineStr">
        <is>
          <t>Рафаэль. Микеланджело. Гении эпохи Возрождения. Брилиант С.М.</t>
        </is>
      </c>
      <c r="F492" s="13" t="inlineStr">
        <is>
          <t>См.обл.</t>
        </is>
      </c>
      <c r="G492" s="1" t="inlineStr">
        <is>
          <t>Брилиант С.М.</t>
        </is>
      </c>
      <c r="H492" s="1" t="inlineStr">
        <is>
          <t>84х108/32</t>
        </is>
      </c>
      <c r="I492" s="1" t="n">
        <v>256</v>
      </c>
      <c r="J492" s="1" t="inlineStr">
        <is>
          <t>РИПОЛ Классик</t>
        </is>
      </c>
      <c r="M492" s="1" t="inlineStr">
        <is>
          <t>2021</t>
        </is>
      </c>
      <c r="N492" s="1" t="inlineStr">
        <is>
          <t>П</t>
        </is>
      </c>
      <c r="O492" s="9" t="n">
        <v>10</v>
      </c>
      <c r="P492" s="1">
        <f>ROUNDUP(940*(1-$F$3),2)</f>
        <v/>
      </c>
      <c r="Q492" s="1" t="inlineStr">
        <is>
          <t> </t>
        </is>
      </c>
      <c r="R492" s="1" t="inlineStr">
        <is>
          <t>978-5-386-14229-2</t>
        </is>
      </c>
      <c r="S492" s="1" t="inlineStr">
        <is>
          <t>9785386142292</t>
        </is>
      </c>
      <c r="T492" s="9" t="n">
        <v>10</v>
      </c>
      <c r="U492" s="1">
        <f>ROUNDUP(854.55*(1-$F$3),2)</f>
        <v/>
      </c>
      <c r="V492" s="1" t="n">
        <v>308</v>
      </c>
      <c r="Y492" s="1" t="inlineStr">
        <is>
          <t>Рафаэль. Микеланджело. Гении эпохи Возрождения</t>
        </is>
      </c>
      <c r="Z492" s="1" t="inlineStr">
        <is>
          <t>12+</t>
        </is>
      </c>
      <c r="AA492" s="12" t="n">
        <v>44307</v>
      </c>
      <c r="AB492" s="1" t="inlineStr">
        <is>
          <t>Искусство</t>
        </is>
      </c>
      <c r="AC492" s="1" t="inlineStr">
        <is>
          <t>Изобразительное искусство. Архитектура</t>
        </is>
      </c>
      <c r="AD492" s="1" t="inlineStr">
        <is>
          <t>Изобразительное искусство</t>
        </is>
      </c>
      <c r="AE492" s="1" t="inlineStr">
        <is>
          <t>офсетная</t>
        </is>
      </c>
      <c r="AG492" s="1" t="n">
        <v>9686600</v>
      </c>
      <c r="AI492" s="1" t="inlineStr">
        <is>
          <t>4901990000</t>
        </is>
      </c>
    </row>
    <row r="493" customFormat="1" s="1">
      <c r="C493" s="1" t="inlineStr">
        <is>
          <t xml:space="preserve">9680450             </t>
        </is>
      </c>
      <c r="D493" s="1" t="inlineStr">
        <is>
          <t>Великие биографии</t>
        </is>
      </c>
      <c r="E493" s="1" t="inlineStr">
        <is>
          <t>Ришелье. Рене Декарт. Французские мыслители. Ранцов В.Л., Папер Г.А.</t>
        </is>
      </c>
      <c r="F493" s="13" t="inlineStr">
        <is>
          <t>См.обл.</t>
        </is>
      </c>
      <c r="G493" s="1" t="inlineStr">
        <is>
          <t>Ранцов В.Л., Папер Г.А.</t>
        </is>
      </c>
      <c r="H493" s="1" t="inlineStr">
        <is>
          <t>84х108/32</t>
        </is>
      </c>
      <c r="I493" s="1" t="n">
        <v>272</v>
      </c>
      <c r="J493" s="1" t="inlineStr">
        <is>
          <t>РИПОЛ Классик</t>
        </is>
      </c>
      <c r="M493" s="1" t="inlineStr">
        <is>
          <t>2021</t>
        </is>
      </c>
      <c r="N493" s="1" t="inlineStr">
        <is>
          <t>П</t>
        </is>
      </c>
      <c r="O493" s="9" t="n">
        <v>10</v>
      </c>
      <c r="P493" s="1">
        <f>ROUNDUP(1020*(1-$F$3),2)</f>
        <v/>
      </c>
      <c r="Q493" s="1" t="inlineStr">
        <is>
          <t> </t>
        </is>
      </c>
      <c r="R493" s="1" t="inlineStr">
        <is>
          <t>978-5-386-14198-1</t>
        </is>
      </c>
      <c r="S493" s="1" t="inlineStr">
        <is>
          <t>9785386141981</t>
        </is>
      </c>
      <c r="T493" s="9" t="n">
        <v>10</v>
      </c>
      <c r="U493" s="1">
        <f>ROUNDUP(927.27*(1-$F$3),2)</f>
        <v/>
      </c>
      <c r="V493" s="1" t="n">
        <v>318</v>
      </c>
      <c r="Y493" s="1" t="inlineStr">
        <is>
          <t>Ришелье. Рене Декарт. Французские мыслители</t>
        </is>
      </c>
      <c r="Z493" s="1" t="inlineStr">
        <is>
          <t>12+</t>
        </is>
      </c>
      <c r="AA493" s="12" t="n">
        <v>44300</v>
      </c>
      <c r="AB493" s="1" t="inlineStr">
        <is>
          <t>Художественно-документальная проза</t>
        </is>
      </c>
      <c r="AC493" s="1" t="inlineStr">
        <is>
          <t>Биографии. Мемуары</t>
        </is>
      </c>
      <c r="AD493" s="1" t="inlineStr">
        <is>
          <t>Биографии общественных и исторических деятелей</t>
        </is>
      </c>
      <c r="AE493" s="1" t="inlineStr">
        <is>
          <t>офсетная</t>
        </is>
      </c>
      <c r="AG493" s="1" t="n">
        <v>9680450</v>
      </c>
      <c r="AI493" s="1" t="inlineStr">
        <is>
          <t>4901990000</t>
        </is>
      </c>
    </row>
    <row r="494" customFormat="1" s="1">
      <c r="C494" s="1" t="inlineStr">
        <is>
          <t xml:space="preserve">8394550             </t>
        </is>
      </c>
      <c r="D494" s="1" t="inlineStr">
        <is>
          <t>Великие зарубежные живописцы</t>
        </is>
      </c>
      <c r="E494" s="1" t="inlineStr">
        <is>
          <t>Огюст Ренуар. Биография. Картины. История создания. Сост. Журавлева М.О.</t>
        </is>
      </c>
      <c r="F494" s="13" t="inlineStr">
        <is>
          <t>См.обл.</t>
        </is>
      </c>
      <c r="G494" s="1" t="inlineStr">
        <is>
          <t>Сост. Журавлева М.О.</t>
        </is>
      </c>
      <c r="H494" s="1" t="inlineStr">
        <is>
          <t>60х90/8</t>
        </is>
      </c>
      <c r="I494" s="1" t="n">
        <v>40</v>
      </c>
      <c r="J494" s="1" t="inlineStr">
        <is>
          <t>РИПОЛ Классик</t>
        </is>
      </c>
      <c r="M494" s="1" t="inlineStr">
        <is>
          <t>2018</t>
        </is>
      </c>
      <c r="N494" s="1" t="inlineStr">
        <is>
          <t>О</t>
        </is>
      </c>
      <c r="O494" s="9" t="n">
        <v>20</v>
      </c>
      <c r="P494" s="1">
        <f>ROUNDUP(680*(1-$F$3),2)</f>
        <v/>
      </c>
      <c r="Q494" s="1" t="inlineStr">
        <is>
          <t> </t>
        </is>
      </c>
      <c r="R494" s="1" t="inlineStr">
        <is>
          <t>978-5-386-10442-9</t>
        </is>
      </c>
      <c r="S494" s="1" t="inlineStr">
        <is>
          <t>9785386104429</t>
        </is>
      </c>
      <c r="T494" s="9" t="n">
        <v>10</v>
      </c>
      <c r="U494" s="1">
        <f>ROUNDUP(618.18*(1-$F$3),2)</f>
        <v/>
      </c>
      <c r="V494" s="1" t="n">
        <v>149</v>
      </c>
      <c r="Y494" s="1" t="inlineStr">
        <is>
          <t>Огюст Ренуар. Биография. Картины. История создания</t>
        </is>
      </c>
      <c r="Z494" s="1" t="inlineStr">
        <is>
          <t>12+</t>
        </is>
      </c>
      <c r="AA494" s="12" t="n">
        <v>43095</v>
      </c>
      <c r="AB494" s="1" t="inlineStr">
        <is>
          <t>Искусство</t>
        </is>
      </c>
      <c r="AC494" s="1" t="inlineStr">
        <is>
          <t>Изобразительное искусство. Архитектура</t>
        </is>
      </c>
      <c r="AD494" s="1" t="inlineStr">
        <is>
          <t>Изобразительное искусство</t>
        </is>
      </c>
      <c r="AE494" s="1" t="inlineStr">
        <is>
          <t>мелованная</t>
        </is>
      </c>
      <c r="AG494" s="1" t="n">
        <v>8394550</v>
      </c>
      <c r="AI494" s="1" t="inlineStr">
        <is>
          <t>4901990000</t>
        </is>
      </c>
    </row>
    <row r="495" customFormat="1" s="1">
      <c r="C495" s="1" t="inlineStr">
        <is>
          <t xml:space="preserve">8651730             </t>
        </is>
      </c>
      <c r="D495" s="1" t="inlineStr">
        <is>
          <t>Великие зарубежные живописцы</t>
        </is>
      </c>
      <c r="E495" s="1" t="inlineStr">
        <is>
          <t>Поль Гоген. Биография. Картины. История создания. Сост. Гаврильчик А.М.</t>
        </is>
      </c>
      <c r="F495" s="13" t="inlineStr">
        <is>
          <t>См.обл.</t>
        </is>
      </c>
      <c r="G495" s="1" t="inlineStr">
        <is>
          <t>Сост. Гаврильчик А.М.</t>
        </is>
      </c>
      <c r="H495" s="1" t="inlineStr">
        <is>
          <t>60х90/8</t>
        </is>
      </c>
      <c r="I495" s="1" t="n">
        <v>40</v>
      </c>
      <c r="J495" s="1" t="inlineStr">
        <is>
          <t>РИПОЛ Классик</t>
        </is>
      </c>
      <c r="M495" s="1" t="inlineStr">
        <is>
          <t>2018</t>
        </is>
      </c>
      <c r="N495" s="1" t="inlineStr">
        <is>
          <t>О</t>
        </is>
      </c>
      <c r="O495" s="9" t="n">
        <v>20</v>
      </c>
      <c r="P495" s="1">
        <f>ROUNDUP(530*(1-$F$3),2)</f>
        <v/>
      </c>
      <c r="Q495" s="1" t="inlineStr">
        <is>
          <t> </t>
        </is>
      </c>
      <c r="R495" s="1" t="inlineStr">
        <is>
          <t>978-5-386-10713-0</t>
        </is>
      </c>
      <c r="S495" s="1" t="inlineStr">
        <is>
          <t>9785386107130</t>
        </is>
      </c>
      <c r="T495" s="9" t="n">
        <v>10</v>
      </c>
      <c r="U495" s="1">
        <f>ROUNDUP(481.82*(1-$F$3),2)</f>
        <v/>
      </c>
      <c r="V495" s="1" t="n">
        <v>148</v>
      </c>
      <c r="Y495" s="1" t="inlineStr">
        <is>
          <t>Поль Гоген. Биография. Картины. История создания</t>
        </is>
      </c>
      <c r="Z495" s="1" t="inlineStr">
        <is>
          <t>12+</t>
        </is>
      </c>
      <c r="AA495" s="12" t="n">
        <v>43230</v>
      </c>
      <c r="AB495" s="1" t="inlineStr">
        <is>
          <t>Искусство</t>
        </is>
      </c>
      <c r="AC495" s="1" t="inlineStr">
        <is>
          <t>Изобразительное искусство. Архитектура</t>
        </is>
      </c>
      <c r="AD495" s="1" t="inlineStr">
        <is>
          <t>Изобразительное искусство</t>
        </is>
      </c>
      <c r="AE495" s="1" t="inlineStr">
        <is>
          <t>мелованная</t>
        </is>
      </c>
      <c r="AG495" s="1" t="n">
        <v>8651730</v>
      </c>
      <c r="AI495" s="1" t="inlineStr">
        <is>
          <t>4901990000</t>
        </is>
      </c>
    </row>
    <row r="496" customFormat="1" s="1">
      <c r="C496" s="1" t="inlineStr">
        <is>
          <t xml:space="preserve">8651740             </t>
        </is>
      </c>
      <c r="D496" s="1" t="inlineStr">
        <is>
          <t>Великие зарубежные живописцы</t>
        </is>
      </c>
      <c r="E496" s="1" t="inlineStr">
        <is>
          <t>Поль Сезанн. Биография. Картины. История создания. Сост. Бобкова А.А.</t>
        </is>
      </c>
      <c r="F496" s="13" t="inlineStr">
        <is>
          <t>См.обл.</t>
        </is>
      </c>
      <c r="G496" s="1" t="inlineStr">
        <is>
          <t>Сост. Бобкова А.А.</t>
        </is>
      </c>
      <c r="H496" s="1" t="inlineStr">
        <is>
          <t>60х90/8</t>
        </is>
      </c>
      <c r="I496" s="1" t="n">
        <v>40</v>
      </c>
      <c r="J496" s="1" t="inlineStr">
        <is>
          <t>РИПОЛ Классик</t>
        </is>
      </c>
      <c r="M496" s="1" t="inlineStr">
        <is>
          <t>2018</t>
        </is>
      </c>
      <c r="N496" s="1" t="inlineStr">
        <is>
          <t>О</t>
        </is>
      </c>
      <c r="O496" s="9" t="n">
        <v>20</v>
      </c>
      <c r="P496" s="1">
        <f>ROUNDUP(530*(1-$F$3),2)</f>
        <v/>
      </c>
      <c r="Q496" s="1" t="inlineStr">
        <is>
          <t> </t>
        </is>
      </c>
      <c r="R496" s="1" t="inlineStr">
        <is>
          <t>978-5-386-10714-7</t>
        </is>
      </c>
      <c r="S496" s="1" t="inlineStr">
        <is>
          <t>9785386107147</t>
        </is>
      </c>
      <c r="T496" s="9" t="n">
        <v>10</v>
      </c>
      <c r="U496" s="1">
        <f>ROUNDUP(481.82*(1-$F$3),2)</f>
        <v/>
      </c>
      <c r="V496" s="1" t="n">
        <v>149</v>
      </c>
      <c r="Y496" s="1" t="inlineStr">
        <is>
          <t>Поль Сезанн. Биография. Картины. История создания</t>
        </is>
      </c>
      <c r="Z496" s="1" t="inlineStr">
        <is>
          <t>12+</t>
        </is>
      </c>
      <c r="AA496" s="12" t="n">
        <v>43230</v>
      </c>
      <c r="AB496" s="1" t="inlineStr">
        <is>
          <t>Искусство</t>
        </is>
      </c>
      <c r="AC496" s="1" t="inlineStr">
        <is>
          <t>Изобразительное искусство. Архитектура</t>
        </is>
      </c>
      <c r="AD496" s="1" t="inlineStr">
        <is>
          <t>Изобразительное искусство</t>
        </is>
      </c>
      <c r="AE496" s="1" t="inlineStr">
        <is>
          <t>мелованная</t>
        </is>
      </c>
      <c r="AG496" s="1" t="n">
        <v>8651740</v>
      </c>
      <c r="AI496" s="1" t="inlineStr">
        <is>
          <t>4901990000</t>
        </is>
      </c>
    </row>
    <row r="497" customFormat="1" s="1">
      <c r="C497" s="1" t="inlineStr">
        <is>
          <t>12268620</t>
        </is>
      </c>
      <c r="D497" s="1" t="inlineStr">
        <is>
          <t>Великие зарубежные живописцы</t>
        </is>
      </c>
      <c r="E497" s="1" t="inlineStr">
        <is>
          <t>Художники и цитаты (комплект из 4-х книг). Орлова Е.</t>
        </is>
      </c>
      <c r="F497" s="13" t="inlineStr">
        <is>
          <t>См.обл.</t>
        </is>
      </c>
      <c r="G497" s="1" t="inlineStr">
        <is>
          <t>Орлова Е.</t>
        </is>
      </c>
      <c r="H497" s="1" t="inlineStr">
        <is>
          <t>60х90/8</t>
        </is>
      </c>
      <c r="I497" s="1" t="n">
        <v>600</v>
      </c>
      <c r="J497" s="1" t="inlineStr">
        <is>
          <t>РИПОЛ Классик</t>
        </is>
      </c>
      <c r="M497" s="1" t="inlineStr">
        <is>
          <t>2022</t>
        </is>
      </c>
      <c r="N497" s="1" t="inlineStr">
        <is>
          <t>П</t>
        </is>
      </c>
      <c r="O497" s="9" t="n"/>
      <c r="P497" s="1">
        <f>ROUNDUP(2760*(1-$F$3),2)</f>
        <v/>
      </c>
      <c r="Q497" s="1" t="inlineStr">
        <is>
          <t> </t>
        </is>
      </c>
      <c r="R497" s="1" t="inlineStr">
        <is>
          <t>978-5-8854-0377-1</t>
        </is>
      </c>
      <c r="S497" s="1" t="inlineStr">
        <is>
          <t>9785885403771</t>
        </is>
      </c>
      <c r="T497" s="9" t="n">
        <v>10</v>
      </c>
      <c r="U497" s="1">
        <f>ROUNDUP(2509.09*(1-$F$3),2)</f>
        <v/>
      </c>
      <c r="V497" s="1" t="n">
        <v>999</v>
      </c>
      <c r="Y497" s="1" t="inlineStr">
        <is>
          <t>Художники и цитаты (комплект из 4-х книг)</t>
        </is>
      </c>
      <c r="Z497" s="1" t="inlineStr">
        <is>
          <t>16+</t>
        </is>
      </c>
      <c r="AA497" s="12" t="n">
        <v>46273</v>
      </c>
      <c r="AB497" s="1" t="inlineStr">
        <is>
          <t>Искусство</t>
        </is>
      </c>
      <c r="AC497" s="1" t="inlineStr">
        <is>
          <t>Изобразительное искусство. Архитектура</t>
        </is>
      </c>
      <c r="AD497" s="1" t="inlineStr">
        <is>
          <t>Изобразительное искусство</t>
        </is>
      </c>
      <c r="AE497" s="1" t="inlineStr">
        <is>
          <t>мелованная</t>
        </is>
      </c>
      <c r="AG497" s="1" t="n">
        <v>12268620</v>
      </c>
      <c r="AI497" s="1" t="inlineStr">
        <is>
          <t>4901990000</t>
        </is>
      </c>
    </row>
    <row r="498" customFormat="1" s="1">
      <c r="C498" s="1" t="inlineStr">
        <is>
          <t xml:space="preserve">9792210             </t>
        </is>
      </c>
      <c r="D498" s="1" t="inlineStr">
        <is>
          <t>Великие мысли великих людей</t>
        </is>
      </c>
      <c r="E498" s="1" t="inlineStr">
        <is>
          <t xml:space="preserve">Бизнес в цитатах и афоризмах. </t>
        </is>
      </c>
      <c r="F498" s="13" t="inlineStr">
        <is>
          <t>См.обл.</t>
        </is>
      </c>
      <c r="H498" s="1" t="inlineStr">
        <is>
          <t>84х108/32</t>
        </is>
      </c>
      <c r="I498" s="1" t="n">
        <v>672</v>
      </c>
      <c r="J498" s="1" t="inlineStr">
        <is>
          <t>РИПОЛ Классик</t>
        </is>
      </c>
      <c r="M498" s="1" t="inlineStr">
        <is>
          <t>2021</t>
        </is>
      </c>
      <c r="N498" s="1" t="inlineStr">
        <is>
          <t>П</t>
        </is>
      </c>
      <c r="O498" s="9" t="n">
        <v>6</v>
      </c>
      <c r="P498" s="1">
        <f>ROUNDUP(1450*(1-$F$3),2)</f>
        <v/>
      </c>
      <c r="Q498" s="1" t="inlineStr">
        <is>
          <t> </t>
        </is>
      </c>
      <c r="R498" s="1" t="inlineStr">
        <is>
          <t>978-5-386-14404-3</t>
        </is>
      </c>
      <c r="S498" s="1" t="inlineStr">
        <is>
          <t>9785386144043</t>
        </is>
      </c>
      <c r="T498" s="9" t="n">
        <v>10</v>
      </c>
      <c r="U498" s="1">
        <f>ROUNDUP(1318.18*(1-$F$3),2)</f>
        <v/>
      </c>
      <c r="V498" s="1" t="n">
        <v>682</v>
      </c>
      <c r="Y498" s="1" t="inlineStr">
        <is>
          <t>Бизнес в цитатах и афоризмах</t>
        </is>
      </c>
      <c r="Z498" s="1" t="inlineStr">
        <is>
          <t>0 +</t>
        </is>
      </c>
      <c r="AA498" s="12" t="n">
        <v>44427</v>
      </c>
      <c r="AB498" s="1" t="inlineStr">
        <is>
          <t>Художественная литература</t>
        </is>
      </c>
      <c r="AC498" s="1" t="inlineStr">
        <is>
          <t>Юмор. Афоризмы</t>
        </is>
      </c>
      <c r="AD498" s="1" t="inlineStr">
        <is>
          <t>Афоризмы. Цитаты</t>
        </is>
      </c>
      <c r="AE498" s="1" t="inlineStr">
        <is>
          <t>офсетная</t>
        </is>
      </c>
      <c r="AG498" s="1" t="n">
        <v>9792210</v>
      </c>
      <c r="AI498" s="1" t="inlineStr">
        <is>
          <t>4901990000</t>
        </is>
      </c>
    </row>
    <row r="499" customFormat="1" s="1">
      <c r="C499" s="1" t="inlineStr">
        <is>
          <t>12030820</t>
        </is>
      </c>
      <c r="D499" s="1" t="inlineStr">
        <is>
          <t>Великие мысли великих людей</t>
        </is>
      </c>
      <c r="E499" s="1" t="inlineStr">
        <is>
          <t>Великие мысли великих людей: В 3-х т (в коробе). Сост. Кондрашов А.П.</t>
        </is>
      </c>
      <c r="F499" s="13" t="inlineStr">
        <is>
          <t>См.обл.</t>
        </is>
      </c>
      <c r="G499" s="1" t="inlineStr">
        <is>
          <t>Сост. Кондрашов А.П.</t>
        </is>
      </c>
      <c r="H499" s="1" t="inlineStr">
        <is>
          <t>84х108/32</t>
        </is>
      </c>
      <c r="I499" s="1" t="n">
        <v>1920</v>
      </c>
      <c r="J499" s="1" t="inlineStr">
        <is>
          <t>РИПОЛ Классик</t>
        </is>
      </c>
      <c r="M499" s="1" t="inlineStr">
        <is>
          <t>2025</t>
        </is>
      </c>
      <c r="N499" s="1" t="inlineStr">
        <is>
          <t>П</t>
        </is>
      </c>
      <c r="O499" s="9" t="n"/>
      <c r="P499" s="1">
        <f>ROUNDUP(3660*(1-$F$3),2)</f>
        <v/>
      </c>
      <c r="Q499" s="1" t="inlineStr">
        <is>
          <t> </t>
        </is>
      </c>
      <c r="R499" s="1" t="inlineStr">
        <is>
          <t>978-5-386-15539-1</t>
        </is>
      </c>
      <c r="S499" s="1" t="inlineStr">
        <is>
          <t>9785386155391</t>
        </is>
      </c>
      <c r="T499" s="9" t="n">
        <v>22</v>
      </c>
      <c r="U499" s="1">
        <f>ROUNDUP(3000*(1-$F$3),2)</f>
        <v/>
      </c>
      <c r="V499" s="1" t="n">
        <v>2114</v>
      </c>
      <c r="Y499" s="1" t="inlineStr">
        <is>
          <t>Великие мысли великих людей: В 3-х т (в коробе)</t>
        </is>
      </c>
      <c r="Z499" s="1" t="inlineStr">
        <is>
          <t>16+</t>
        </is>
      </c>
      <c r="AA499" s="12" t="n">
        <v>46057</v>
      </c>
      <c r="AB499" s="1" t="inlineStr">
        <is>
          <t>Художественная литература</t>
        </is>
      </c>
      <c r="AC499" s="1" t="inlineStr">
        <is>
          <t>Юмор. Афоризмы</t>
        </is>
      </c>
      <c r="AD499" s="1" t="inlineStr">
        <is>
          <t>Афоризмы. Цитаты</t>
        </is>
      </c>
      <c r="AE499" s="1" t="inlineStr">
        <is>
          <t>офсетная</t>
        </is>
      </c>
      <c r="AG499" s="1" t="n">
        <v>12030820</v>
      </c>
      <c r="AI499" s="1" t="inlineStr">
        <is>
          <t>4901990000</t>
        </is>
      </c>
    </row>
    <row r="500" customFormat="1" s="1">
      <c r="C500" s="1" t="inlineStr">
        <is>
          <t xml:space="preserve">9750120             </t>
        </is>
      </c>
      <c r="D500" s="1" t="inlineStr">
        <is>
          <t>Великие мысли великих людей</t>
        </is>
      </c>
      <c r="E500" s="1" t="inlineStr">
        <is>
          <t>Власть в цитатах и афоризмах. Сост. Кондрашов А.П.</t>
        </is>
      </c>
      <c r="F500" s="13" t="inlineStr">
        <is>
          <t>См.обл.</t>
        </is>
      </c>
      <c r="G500" s="1" t="inlineStr">
        <is>
          <t>Сост. Кондрашов А.П.</t>
        </is>
      </c>
      <c r="H500" s="1" t="inlineStr">
        <is>
          <t>84х108/32</t>
        </is>
      </c>
      <c r="I500" s="1" t="n">
        <v>640</v>
      </c>
      <c r="J500" s="1" t="inlineStr">
        <is>
          <t>РИПОЛ Классик</t>
        </is>
      </c>
      <c r="M500" s="1" t="inlineStr">
        <is>
          <t>2021</t>
        </is>
      </c>
      <c r="N500" s="1" t="inlineStr">
        <is>
          <t>П</t>
        </is>
      </c>
      <c r="O500" s="9" t="n">
        <v>5</v>
      </c>
      <c r="P500" s="1">
        <f>ROUNDUP(1450*(1-$F$3),2)</f>
        <v/>
      </c>
      <c r="Q500" s="1" t="inlineStr">
        <is>
          <t> </t>
        </is>
      </c>
      <c r="R500" s="1" t="inlineStr">
        <is>
          <t>978-5-386-14307-7</t>
        </is>
      </c>
      <c r="S500" s="1" t="inlineStr">
        <is>
          <t>9785386143077</t>
        </is>
      </c>
      <c r="T500" s="9" t="n">
        <v>10</v>
      </c>
      <c r="U500" s="1">
        <f>ROUNDUP(1318.18*(1-$F$3),2)</f>
        <v/>
      </c>
      <c r="V500" s="1" t="n">
        <v>668</v>
      </c>
      <c r="Y500" s="1" t="inlineStr">
        <is>
          <t>Власть в цитатах и афоризмах</t>
        </is>
      </c>
      <c r="Z500" s="1" t="inlineStr">
        <is>
          <t>12+</t>
        </is>
      </c>
      <c r="AA500" s="12" t="n">
        <v>44417</v>
      </c>
      <c r="AB500" s="1" t="inlineStr">
        <is>
          <t>Художественная литература</t>
        </is>
      </c>
      <c r="AC500" s="1" t="inlineStr">
        <is>
          <t>Юмор. Афоризмы</t>
        </is>
      </c>
      <c r="AD500" s="1" t="inlineStr">
        <is>
          <t>Афоризмы. Цитаты</t>
        </is>
      </c>
      <c r="AE500" s="1" t="inlineStr">
        <is>
          <t>офсетная</t>
        </is>
      </c>
      <c r="AG500" s="1" t="n">
        <v>9750120</v>
      </c>
      <c r="AI500" s="1" t="inlineStr">
        <is>
          <t>4901990000</t>
        </is>
      </c>
    </row>
    <row r="501" customFormat="1" s="1">
      <c r="C501" s="1" t="inlineStr">
        <is>
          <t xml:space="preserve">9968080             </t>
        </is>
      </c>
      <c r="D501" s="1" t="inlineStr">
        <is>
          <t>Великие мысли великих людей</t>
        </is>
      </c>
      <c r="E501" s="1" t="inlineStr">
        <is>
          <t>Древний Восток и Античность в цитатах и афоризмах. Сост. Кондрашов А.П.</t>
        </is>
      </c>
      <c r="F501" s="13" t="inlineStr">
        <is>
          <t>См.обл.</t>
        </is>
      </c>
      <c r="G501" s="1" t="inlineStr">
        <is>
          <t>Сост. Кондрашов А.П.</t>
        </is>
      </c>
      <c r="H501" s="1" t="inlineStr">
        <is>
          <t>84х108/32</t>
        </is>
      </c>
      <c r="I501" s="1" t="n">
        <v>480</v>
      </c>
      <c r="J501" s="1" t="inlineStr">
        <is>
          <t>РИПОЛ Классик</t>
        </is>
      </c>
      <c r="M501" s="1" t="inlineStr">
        <is>
          <t>2022</t>
        </is>
      </c>
      <c r="N501" s="1" t="inlineStr">
        <is>
          <t>П</t>
        </is>
      </c>
      <c r="O501" s="9" t="n">
        <v>8</v>
      </c>
      <c r="P501" s="1">
        <f>ROUNDUP(1240*(1-$F$3),2)</f>
        <v/>
      </c>
      <c r="Q501" s="1" t="inlineStr">
        <is>
          <t> </t>
        </is>
      </c>
      <c r="R501" s="1" t="inlineStr">
        <is>
          <t>978-5-386-14537-8</t>
        </is>
      </c>
      <c r="S501" s="1" t="inlineStr">
        <is>
          <t>9785386145378</t>
        </is>
      </c>
      <c r="T501" s="9" t="n">
        <v>10</v>
      </c>
      <c r="U501" s="1">
        <f>ROUNDUP(1127.27*(1-$F$3),2)</f>
        <v/>
      </c>
      <c r="V501" s="1" t="n">
        <v>494</v>
      </c>
      <c r="Y501" s="1" t="inlineStr">
        <is>
          <t>Древний Восток и Античность в цитатах и афоризмах</t>
        </is>
      </c>
      <c r="Z501" s="1" t="inlineStr">
        <is>
          <t>16+</t>
        </is>
      </c>
      <c r="AA501" s="12" t="n">
        <v>44532</v>
      </c>
      <c r="AB501" s="1" t="inlineStr">
        <is>
          <t>Художественная литература</t>
        </is>
      </c>
      <c r="AC501" s="1" t="inlineStr">
        <is>
          <t>Юмор. Афоризмы</t>
        </is>
      </c>
      <c r="AD501" s="1" t="inlineStr">
        <is>
          <t>Афоризмы. Цитаты</t>
        </is>
      </c>
      <c r="AE501" s="1" t="inlineStr">
        <is>
          <t>офсетная</t>
        </is>
      </c>
      <c r="AG501" s="1" t="n">
        <v>9968080</v>
      </c>
      <c r="AI501" s="1" t="inlineStr">
        <is>
          <t>4901990000</t>
        </is>
      </c>
    </row>
    <row r="502" customFormat="1" s="1">
      <c r="C502" s="1" t="inlineStr">
        <is>
          <t xml:space="preserve">9968230             </t>
        </is>
      </c>
      <c r="D502" s="1" t="inlineStr">
        <is>
          <t>Великие мысли великих людей</t>
        </is>
      </c>
      <c r="E502" s="1" t="inlineStr">
        <is>
          <t>Новое время и XIX - XX век в цитатах и афоризмах. Сост. Кондрашов А.П.</t>
        </is>
      </c>
      <c r="F502" s="13" t="inlineStr">
        <is>
          <t>См.обл.</t>
        </is>
      </c>
      <c r="G502" s="1" t="inlineStr">
        <is>
          <t>Сост. Кондрашов А.П.</t>
        </is>
      </c>
      <c r="H502" s="1" t="inlineStr">
        <is>
          <t>84х108/32</t>
        </is>
      </c>
      <c r="I502" s="1" t="n">
        <v>736</v>
      </c>
      <c r="J502" s="1" t="inlineStr">
        <is>
          <t>РИПОЛ Классик</t>
        </is>
      </c>
      <c r="M502" s="1" t="inlineStr">
        <is>
          <t>2022</t>
        </is>
      </c>
      <c r="N502" s="1" t="inlineStr">
        <is>
          <t>П</t>
        </is>
      </c>
      <c r="O502" s="9" t="n">
        <v>6</v>
      </c>
      <c r="P502" s="1">
        <f>ROUNDUP(1430*(1-$F$3),2)</f>
        <v/>
      </c>
      <c r="Q502" s="1" t="inlineStr">
        <is>
          <t> </t>
        </is>
      </c>
      <c r="R502" s="1" t="inlineStr">
        <is>
          <t>978-5-386-14535-4</t>
        </is>
      </c>
      <c r="S502" s="1" t="inlineStr">
        <is>
          <t>9785386145354</t>
        </is>
      </c>
      <c r="T502" s="9" t="n">
        <v>10</v>
      </c>
      <c r="U502" s="1">
        <f>ROUNDUP(1300*(1-$F$3),2)</f>
        <v/>
      </c>
      <c r="V502" s="1" t="n">
        <v>713</v>
      </c>
      <c r="Y502" s="1" t="inlineStr">
        <is>
          <t>Новое время и XIX - XX век в цитатах и афоризмах</t>
        </is>
      </c>
      <c r="Z502" s="1" t="inlineStr">
        <is>
          <t>16+</t>
        </is>
      </c>
      <c r="AA502" s="12" t="n">
        <v>44532</v>
      </c>
      <c r="AB502" s="1" t="inlineStr">
        <is>
          <t>Художественная литература</t>
        </is>
      </c>
      <c r="AC502" s="1" t="inlineStr">
        <is>
          <t>Юмор. Афоризмы</t>
        </is>
      </c>
      <c r="AD502" s="1" t="inlineStr">
        <is>
          <t>Афоризмы. Цитаты</t>
        </is>
      </c>
      <c r="AE502" s="1" t="inlineStr">
        <is>
          <t>офсетная</t>
        </is>
      </c>
      <c r="AG502" s="1" t="n">
        <v>9968230</v>
      </c>
      <c r="AI502" s="1" t="inlineStr">
        <is>
          <t>4901990000</t>
        </is>
      </c>
    </row>
    <row r="503" customFormat="1" s="1">
      <c r="C503" s="1" t="inlineStr">
        <is>
          <t xml:space="preserve">9968220             </t>
        </is>
      </c>
      <c r="D503" s="1" t="inlineStr">
        <is>
          <t>Великие мысли великих людей</t>
        </is>
      </c>
      <c r="E503" s="1" t="inlineStr">
        <is>
          <t>Средневековье и Просвещение в цитатах и афоризмах. Сост. Кондрашов А.П.</t>
        </is>
      </c>
      <c r="F503" s="13" t="inlineStr">
        <is>
          <t>См.обл.</t>
        </is>
      </c>
      <c r="G503" s="1" t="inlineStr">
        <is>
          <t>Сост. Кондрашов А.П.</t>
        </is>
      </c>
      <c r="H503" s="1" t="inlineStr">
        <is>
          <t>84х108/32</t>
        </is>
      </c>
      <c r="I503" s="1" t="n">
        <v>704</v>
      </c>
      <c r="J503" s="1" t="inlineStr">
        <is>
          <t>РИПОЛ Классик</t>
        </is>
      </c>
      <c r="M503" s="1" t="inlineStr">
        <is>
          <t>2022</t>
        </is>
      </c>
      <c r="N503" s="1" t="inlineStr">
        <is>
          <t>П</t>
        </is>
      </c>
      <c r="O503" s="9" t="n">
        <v>6</v>
      </c>
      <c r="P503" s="1">
        <f>ROUNDUP(1400*(1-$F$3),2)</f>
        <v/>
      </c>
      <c r="Q503" s="1" t="inlineStr">
        <is>
          <t> </t>
        </is>
      </c>
      <c r="R503" s="1" t="inlineStr">
        <is>
          <t>978-5-386-14536-1</t>
        </is>
      </c>
      <c r="S503" s="1" t="inlineStr">
        <is>
          <t>9785386145361</t>
        </is>
      </c>
      <c r="T503" s="9" t="n">
        <v>10</v>
      </c>
      <c r="U503" s="1">
        <f>ROUNDUP(1272.73*(1-$F$3),2)</f>
        <v/>
      </c>
      <c r="V503" s="1" t="n">
        <v>679</v>
      </c>
      <c r="Y503" s="1" t="inlineStr">
        <is>
          <t>Средневековье и Просвещение в цитатах и афоризмах</t>
        </is>
      </c>
      <c r="Z503" s="1" t="inlineStr">
        <is>
          <t>16+</t>
        </is>
      </c>
      <c r="AA503" s="12" t="n">
        <v>44532</v>
      </c>
      <c r="AB503" s="1" t="inlineStr">
        <is>
          <t>Художественная литература</t>
        </is>
      </c>
      <c r="AC503" s="1" t="inlineStr">
        <is>
          <t>Юмор. Афоризмы</t>
        </is>
      </c>
      <c r="AD503" s="1" t="inlineStr">
        <is>
          <t>Афоризмы. Цитаты</t>
        </is>
      </c>
      <c r="AE503" s="1" t="inlineStr">
        <is>
          <t>офсетная</t>
        </is>
      </c>
      <c r="AG503" s="1" t="n">
        <v>9968220</v>
      </c>
      <c r="AI503" s="1" t="inlineStr">
        <is>
          <t>4901990000</t>
        </is>
      </c>
    </row>
    <row r="504" customFormat="1" s="1">
      <c r="C504" s="1" t="inlineStr">
        <is>
          <t>316734</t>
        </is>
      </c>
      <c r="D504" s="1" t="inlineStr">
        <is>
          <t>Великие художники России</t>
        </is>
      </c>
      <c r="E504" s="1" t="inlineStr">
        <is>
          <t>Великие художники России. Дмитрий Григорьевич Левицкий. Орлова Е.</t>
        </is>
      </c>
      <c r="F504" s="13" t="inlineStr">
        <is>
          <t>См.обл.</t>
        </is>
      </c>
      <c r="G504" s="1" t="inlineStr">
        <is>
          <t>Орлова Е.</t>
        </is>
      </c>
      <c r="H504" s="1" t="inlineStr">
        <is>
          <t>60х90/8</t>
        </is>
      </c>
      <c r="I504" s="1" t="n">
        <v>40</v>
      </c>
      <c r="J504" s="1" t="inlineStr">
        <is>
          <t>РИПОЛ Классик</t>
        </is>
      </c>
      <c r="M504" s="1" t="inlineStr">
        <is>
          <t>2014</t>
        </is>
      </c>
      <c r="N504" s="1" t="inlineStr">
        <is>
          <t>О</t>
        </is>
      </c>
      <c r="O504" s="9" t="n">
        <v>60</v>
      </c>
      <c r="P504" s="1">
        <f>ROUNDUP(614.4*(1-$F$3),2)</f>
        <v/>
      </c>
      <c r="Q504" s="1" t="inlineStr">
        <is>
          <t> </t>
        </is>
      </c>
      <c r="R504" s="1" t="inlineStr">
        <is>
          <t>978-5-386-07888-1</t>
        </is>
      </c>
      <c r="S504" s="1" t="inlineStr">
        <is>
          <t>9785386078881</t>
        </is>
      </c>
      <c r="T504" s="9" t="n">
        <v>10</v>
      </c>
      <c r="U504" s="1">
        <f>ROUNDUP(558.55*(1-$F$3),2)</f>
        <v/>
      </c>
      <c r="V504" s="1" t="n">
        <v>186</v>
      </c>
      <c r="W504" s="1" t="inlineStr">
        <is>
          <t xml:space="preserve">851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504" s="1" t="inlineStr">
        <is>
          <t xml:space="preserve">Живопись                                                                                                                        </t>
        </is>
      </c>
      <c r="Y504" s="1" t="inlineStr">
        <is>
          <t>Великие художники России. Дмитрий Григорьевич Левицкий</t>
        </is>
      </c>
      <c r="AA504" s="12" t="n">
        <v>42059</v>
      </c>
      <c r="AB504" s="1" t="inlineStr">
        <is>
          <t>Искусство</t>
        </is>
      </c>
      <c r="AC504" s="1" t="inlineStr">
        <is>
          <t>Изобразительное искусство. Архитектура</t>
        </is>
      </c>
      <c r="AD504" s="1" t="inlineStr">
        <is>
          <t>Изобразительное искусство</t>
        </is>
      </c>
      <c r="AE504" s="1" t="inlineStr">
        <is>
          <t>мелованная</t>
        </is>
      </c>
      <c r="AG504" s="1" t="n">
        <v>6715860</v>
      </c>
      <c r="AI504" s="1" t="inlineStr">
        <is>
          <t>4901990000</t>
        </is>
      </c>
    </row>
    <row r="505" customFormat="1" s="1">
      <c r="C505" s="1" t="inlineStr">
        <is>
          <t xml:space="preserve">7238840             </t>
        </is>
      </c>
      <c r="D505" s="1" t="inlineStr">
        <is>
          <t>Веселые истории в школе и дома</t>
        </is>
      </c>
      <c r="E505" s="1" t="inlineStr">
        <is>
          <t>Будьте готовы, Ваше высочество!. Кассиль Л.А.</t>
        </is>
      </c>
      <c r="F505" s="13" t="inlineStr">
        <is>
          <t>См.обл.</t>
        </is>
      </c>
      <c r="G505" s="1" t="inlineStr">
        <is>
          <t>Кассиль Л.А.</t>
        </is>
      </c>
      <c r="H505" s="1" t="inlineStr">
        <is>
          <t>60х90/16</t>
        </is>
      </c>
      <c r="I505" s="1" t="n">
        <v>208</v>
      </c>
      <c r="J505" s="1" t="inlineStr">
        <is>
          <t>РИПОЛ Классик</t>
        </is>
      </c>
      <c r="M505" s="1" t="inlineStr">
        <is>
          <t>2018</t>
        </is>
      </c>
      <c r="N505" s="1" t="inlineStr">
        <is>
          <t>П</t>
        </is>
      </c>
      <c r="O505" s="9" t="n">
        <v>16</v>
      </c>
      <c r="P505" s="1">
        <f>ROUNDUP(887.4*(1-$F$3),2)</f>
        <v/>
      </c>
      <c r="Q505" s="1" t="inlineStr">
        <is>
          <t> </t>
        </is>
      </c>
      <c r="R505" s="1" t="inlineStr">
        <is>
          <t>978-5-386-08541-4</t>
        </is>
      </c>
      <c r="S505" s="1" t="inlineStr">
        <is>
          <t>9785386085414</t>
        </is>
      </c>
      <c r="T505" s="9" t="n">
        <v>10</v>
      </c>
      <c r="U505" s="1">
        <f>ROUNDUP(806.73*(1-$F$3),2)</f>
        <v/>
      </c>
      <c r="V505" s="1" t="n">
        <v>376</v>
      </c>
      <c r="Y505" s="1" t="inlineStr">
        <is>
          <t>Будьте готовы, Ваше высочество!</t>
        </is>
      </c>
      <c r="Z505" s="1" t="inlineStr">
        <is>
          <t>6 +</t>
        </is>
      </c>
      <c r="AA505" s="12" t="n">
        <v>42303</v>
      </c>
      <c r="AB505" s="1" t="inlineStr">
        <is>
          <t>Детская литература</t>
        </is>
      </c>
      <c r="AC505" s="1" t="inlineStr">
        <is>
          <t>Художественная литература</t>
        </is>
      </c>
      <c r="AD505" s="1" t="inlineStr">
        <is>
          <t>Приключения</t>
        </is>
      </c>
      <c r="AE505" s="1" t="inlineStr">
        <is>
          <t>офсетная</t>
        </is>
      </c>
      <c r="AG505" s="1" t="n">
        <v>7238840</v>
      </c>
      <c r="AI505" s="1" t="inlineStr">
        <is>
          <t>4901990000</t>
        </is>
      </c>
    </row>
    <row r="506" customFormat="1" s="1">
      <c r="C506" s="1" t="inlineStr">
        <is>
          <t>240841</t>
        </is>
      </c>
      <c r="D506" s="1" t="inlineStr">
        <is>
          <t>Визуальная энциклопедия</t>
        </is>
      </c>
      <c r="E506" s="1" t="inlineStr">
        <is>
          <t>Как читать ландшафты. Интенсивный курс по изучению природных ландшафтов. Ярхэм Р.</t>
        </is>
      </c>
      <c r="F506" s="13" t="inlineStr">
        <is>
          <t>См.обл.</t>
        </is>
      </c>
      <c r="G506" s="1" t="inlineStr">
        <is>
          <t>Ярхэм Р.</t>
        </is>
      </c>
      <c r="H506" s="1" t="inlineStr">
        <is>
          <t>60х90/24</t>
        </is>
      </c>
      <c r="I506" s="1" t="n">
        <v>256</v>
      </c>
      <c r="J506" s="1" t="inlineStr">
        <is>
          <t>РИПОЛ Классик</t>
        </is>
      </c>
      <c r="M506" s="1" t="inlineStr">
        <is>
          <t>2013</t>
        </is>
      </c>
      <c r="N506" s="1" t="inlineStr">
        <is>
          <t>О</t>
        </is>
      </c>
      <c r="O506" s="9" t="n">
        <v>40</v>
      </c>
      <c r="P506" s="1">
        <f>ROUNDUP(1454.5*(1-$F$3),2)</f>
        <v/>
      </c>
      <c r="Q506" s="1" t="inlineStr">
        <is>
          <t> </t>
        </is>
      </c>
      <c r="R506" s="1" t="inlineStr">
        <is>
          <t>978-5-386-06355-9</t>
        </is>
      </c>
      <c r="S506" s="1" t="inlineStr">
        <is>
          <t>9785386063559</t>
        </is>
      </c>
      <c r="T506" s="9" t="n">
        <v>10</v>
      </c>
      <c r="U506" s="1">
        <f>ROUNDUP(1322.27*(1-$F$3),2)</f>
        <v/>
      </c>
      <c r="V506" s="1" t="n">
        <v>362</v>
      </c>
      <c r="W506" s="1" t="inlineStr">
        <is>
          <t xml:space="preserve">164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506" s="1" t="inlineStr">
        <is>
          <t xml:space="preserve">Географические науки                                                                                                            </t>
        </is>
      </c>
      <c r="Y506" s="1" t="inlineStr">
        <is>
          <t>Как читать ландшафты. Интенсивный курс по изучению природных ландшафтов</t>
        </is>
      </c>
      <c r="AA506" s="12" t="n">
        <v>41596</v>
      </c>
      <c r="AB506" s="1" t="inlineStr">
        <is>
          <t>Естественные науки. Математика</t>
        </is>
      </c>
      <c r="AC506" s="1" t="inlineStr">
        <is>
          <t>Науки о Земле</t>
        </is>
      </c>
      <c r="AD506" s="1" t="inlineStr">
        <is>
          <t>Общие вопросы наук о Земле</t>
        </is>
      </c>
      <c r="AE506" s="1" t="inlineStr">
        <is>
          <t>мелованная</t>
        </is>
      </c>
      <c r="AG506" s="1" t="n">
        <v>5859520</v>
      </c>
      <c r="AI506" s="1" t="inlineStr">
        <is>
          <t>4901990000</t>
        </is>
      </c>
    </row>
    <row r="507" customFormat="1" s="1">
      <c r="C507" s="1" t="inlineStr">
        <is>
          <t xml:space="preserve">9549460             </t>
        </is>
      </c>
      <c r="D507" s="1" t="inlineStr">
        <is>
          <t>Вихри времени</t>
        </is>
      </c>
      <c r="E507" s="1" t="inlineStr">
        <is>
          <t>Вихрь 1. День, когда разорвался мир. Беннинг А.</t>
        </is>
      </c>
      <c r="F507" s="13" t="inlineStr">
        <is>
          <t>См.обл.</t>
        </is>
      </c>
      <c r="G507" s="1" t="inlineStr">
        <is>
          <t>Беннинг А.</t>
        </is>
      </c>
      <c r="H507" s="1" t="inlineStr">
        <is>
          <t>60х90/16</t>
        </is>
      </c>
      <c r="I507" s="1" t="n">
        <v>480</v>
      </c>
      <c r="J507" s="1" t="inlineStr">
        <is>
          <t>РИПОЛ Классик</t>
        </is>
      </c>
      <c r="M507" s="1" t="inlineStr">
        <is>
          <t>2020</t>
        </is>
      </c>
      <c r="N507" s="1" t="inlineStr">
        <is>
          <t>П</t>
        </is>
      </c>
      <c r="O507" s="9" t="n">
        <v>10</v>
      </c>
      <c r="P507" s="1">
        <f>ROUNDUP(1190*(1-$F$3),2)</f>
        <v/>
      </c>
      <c r="Q507" s="1" t="inlineStr">
        <is>
          <t> </t>
        </is>
      </c>
      <c r="R507" s="1" t="inlineStr">
        <is>
          <t>978-5-386-13861-5</t>
        </is>
      </c>
      <c r="S507" s="1" t="inlineStr">
        <is>
          <t>9785386138615</t>
        </is>
      </c>
      <c r="T507" s="9" t="n">
        <v>10</v>
      </c>
      <c r="U507" s="1">
        <f>ROUNDUP(1081.82*(1-$F$3),2)</f>
        <v/>
      </c>
      <c r="V507" s="1" t="n">
        <v>616</v>
      </c>
      <c r="Y507" s="1" t="inlineStr">
        <is>
          <t>Вихрь 1. День, когда разорвался мир</t>
        </is>
      </c>
      <c r="Z507" s="1" t="inlineStr">
        <is>
          <t>16+</t>
        </is>
      </c>
      <c r="AA507" s="12" t="n">
        <v>44165</v>
      </c>
      <c r="AB507" s="1" t="inlineStr">
        <is>
          <t>Художественная литература</t>
        </is>
      </c>
      <c r="AC507" s="1" t="inlineStr">
        <is>
          <t>Фантастика. Мистика. Ужасы</t>
        </is>
      </c>
      <c r="AD507" s="1" t="inlineStr">
        <is>
          <t>Фэнтези</t>
        </is>
      </c>
      <c r="AE507" s="1" t="inlineStr">
        <is>
          <t>офсетная</t>
        </is>
      </c>
      <c r="AG507" s="1" t="n">
        <v>9549460</v>
      </c>
      <c r="AI507" s="1" t="inlineStr">
        <is>
          <t>4901990000</t>
        </is>
      </c>
    </row>
    <row r="508" customFormat="1" s="1">
      <c r="C508" s="1" t="inlineStr">
        <is>
          <t xml:space="preserve">9733880             </t>
        </is>
      </c>
      <c r="D508" s="1" t="inlineStr">
        <is>
          <t>Вихри времени</t>
        </is>
      </c>
      <c r="E508" s="1" t="inlineStr">
        <is>
          <t>Вихрь 2. Девушка, которая прорвалась сквозь время. Беннинг А.</t>
        </is>
      </c>
      <c r="F508" s="13" t="inlineStr">
        <is>
          <t>См.обл.</t>
        </is>
      </c>
      <c r="G508" s="1" t="inlineStr">
        <is>
          <t>Беннинг А.</t>
        </is>
      </c>
      <c r="H508" s="1" t="inlineStr">
        <is>
          <t>60х90/16</t>
        </is>
      </c>
      <c r="I508" s="1" t="n">
        <v>480</v>
      </c>
      <c r="J508" s="1" t="inlineStr">
        <is>
          <t>РИПОЛ Классик</t>
        </is>
      </c>
      <c r="M508" s="1" t="inlineStr">
        <is>
          <t>2021</t>
        </is>
      </c>
      <c r="N508" s="1" t="inlineStr">
        <is>
          <t>П</t>
        </is>
      </c>
      <c r="O508" s="9" t="n">
        <v>6</v>
      </c>
      <c r="P508" s="1">
        <f>ROUNDUP(1290*(1-$F$3),2)</f>
        <v/>
      </c>
      <c r="Q508" s="1" t="inlineStr">
        <is>
          <t> </t>
        </is>
      </c>
      <c r="R508" s="1" t="inlineStr">
        <is>
          <t>978-5-386-14366-4</t>
        </is>
      </c>
      <c r="S508" s="1" t="inlineStr">
        <is>
          <t>9785386143664</t>
        </is>
      </c>
      <c r="T508" s="9" t="n">
        <v>10</v>
      </c>
      <c r="U508" s="1">
        <f>ROUNDUP(1172.73*(1-$F$3),2)</f>
        <v/>
      </c>
      <c r="V508" s="1" t="n">
        <v>569</v>
      </c>
      <c r="Y508" s="1" t="inlineStr">
        <is>
          <t>Вихрь 2. Девушка, которая прорвалась сквозь время</t>
        </is>
      </c>
      <c r="Z508" s="1" t="inlineStr">
        <is>
          <t>16+</t>
        </is>
      </c>
      <c r="AA508" s="12" t="n">
        <v>44434</v>
      </c>
      <c r="AB508" s="1" t="inlineStr">
        <is>
          <t>Художественная литература</t>
        </is>
      </c>
      <c r="AC508" s="1" t="inlineStr">
        <is>
          <t>Фантастика. Мистика. Ужасы</t>
        </is>
      </c>
      <c r="AD508" s="1" t="inlineStr">
        <is>
          <t>Фэнтези</t>
        </is>
      </c>
      <c r="AE508" s="1" t="inlineStr">
        <is>
          <t>офсетная</t>
        </is>
      </c>
      <c r="AG508" s="1" t="n">
        <v>9733880</v>
      </c>
      <c r="AI508" s="1" t="inlineStr">
        <is>
          <t>4901990000</t>
        </is>
      </c>
    </row>
    <row r="509" customFormat="1" s="1">
      <c r="C509" s="1" t="inlineStr">
        <is>
          <t xml:space="preserve">10292810            </t>
        </is>
      </c>
      <c r="D509" s="1" t="inlineStr">
        <is>
          <t>Вихри времени</t>
        </is>
      </c>
      <c r="E509" s="1" t="inlineStr">
        <is>
          <t>Вихрь 3. Любовь, которая стала новым началом (белый обрез). Беннинг А.</t>
        </is>
      </c>
      <c r="F509" s="13" t="inlineStr">
        <is>
          <t>См.обл.</t>
        </is>
      </c>
      <c r="G509" s="1" t="inlineStr">
        <is>
          <t>Беннинг А.</t>
        </is>
      </c>
      <c r="H509" s="1" t="inlineStr">
        <is>
          <t>60х90/16</t>
        </is>
      </c>
      <c r="I509" s="1" t="n">
        <v>512</v>
      </c>
      <c r="J509" s="1" t="inlineStr">
        <is>
          <t>РИПОЛ Классик</t>
        </is>
      </c>
      <c r="M509" s="1" t="inlineStr">
        <is>
          <t>2022</t>
        </is>
      </c>
      <c r="N509" s="1" t="inlineStr">
        <is>
          <t>П</t>
        </is>
      </c>
      <c r="O509" s="9" t="n">
        <v>10</v>
      </c>
      <c r="P509" s="1">
        <f>ROUNDUP(1390*(1-$F$3),2)</f>
        <v/>
      </c>
      <c r="Q509" s="1" t="inlineStr">
        <is>
          <t> </t>
        </is>
      </c>
      <c r="R509" s="1" t="inlineStr">
        <is>
          <t>978-5-386-14649-8</t>
        </is>
      </c>
      <c r="S509" s="1" t="inlineStr">
        <is>
          <t>9785386146498</t>
        </is>
      </c>
      <c r="T509" s="9" t="n">
        <v>10</v>
      </c>
      <c r="U509" s="1">
        <f>ROUNDUP(1263.64*(1-$F$3),2)</f>
        <v/>
      </c>
      <c r="V509" s="1" t="n">
        <v>594</v>
      </c>
      <c r="Y509" s="1" t="inlineStr">
        <is>
          <t>Вихрь 3. Любовь, которая стала новым началом (белый обрез)</t>
        </is>
      </c>
      <c r="Z509" s="1" t="inlineStr">
        <is>
          <t>16+</t>
        </is>
      </c>
      <c r="AA509" s="12" t="n">
        <v>44645</v>
      </c>
      <c r="AB509" s="1" t="inlineStr">
        <is>
          <t>Художественная литература</t>
        </is>
      </c>
      <c r="AC509" s="1" t="inlineStr">
        <is>
          <t>Фантастика. Мистика. Ужасы</t>
        </is>
      </c>
      <c r="AD509" s="1" t="inlineStr">
        <is>
          <t>Фэнтези</t>
        </is>
      </c>
      <c r="AE509" s="1" t="inlineStr">
        <is>
          <t>офсетная</t>
        </is>
      </c>
      <c r="AG509" s="1" t="n">
        <v>10292810</v>
      </c>
      <c r="AI509" s="1" t="inlineStr">
        <is>
          <t>4901990000</t>
        </is>
      </c>
    </row>
    <row r="510" customFormat="1" s="1">
      <c r="C510" s="1" t="inlineStr">
        <is>
          <t xml:space="preserve">10232640            </t>
        </is>
      </c>
      <c r="D510" s="1" t="inlineStr">
        <is>
          <t>Вихрь</t>
        </is>
      </c>
      <c r="E510" s="1" t="inlineStr">
        <is>
          <t>Мрачно темнеющий свет. Клусс Дж.</t>
        </is>
      </c>
      <c r="F510" s="13" t="inlineStr">
        <is>
          <t>См.обл.</t>
        </is>
      </c>
      <c r="G510" s="1" t="inlineStr">
        <is>
          <t>Клусс Дж.</t>
        </is>
      </c>
      <c r="H510" s="1" t="inlineStr">
        <is>
          <t>84х108/32</t>
        </is>
      </c>
      <c r="I510" s="1" t="n">
        <v>400</v>
      </c>
      <c r="J510" s="1" t="inlineStr">
        <is>
          <t>РИПОЛ Классик</t>
        </is>
      </c>
      <c r="M510" s="1" t="inlineStr">
        <is>
          <t>2022</t>
        </is>
      </c>
      <c r="N510" s="1" t="inlineStr">
        <is>
          <t>П</t>
        </is>
      </c>
      <c r="O510" s="9" t="n">
        <v>10</v>
      </c>
      <c r="P510" s="1">
        <f>ROUNDUP(1300*(1-$F$3),2)</f>
        <v/>
      </c>
      <c r="Q510" s="1" t="inlineStr">
        <is>
          <t> </t>
        </is>
      </c>
      <c r="R510" s="1" t="inlineStr">
        <is>
          <t>978-5-386-14645-0</t>
        </is>
      </c>
      <c r="S510" s="1" t="inlineStr">
        <is>
          <t>9785386146450</t>
        </is>
      </c>
      <c r="T510" s="9" t="n">
        <v>10</v>
      </c>
      <c r="U510" s="1">
        <f>ROUNDUP(1181.82*(1-$F$3),2)</f>
        <v/>
      </c>
      <c r="V510" s="1" t="n">
        <v>425</v>
      </c>
      <c r="Y510" s="1" t="inlineStr">
        <is>
          <t>Мрачно темнеющий свет</t>
        </is>
      </c>
      <c r="Z510" s="1" t="inlineStr">
        <is>
          <t>16+</t>
        </is>
      </c>
      <c r="AA510" s="12" t="n">
        <v>44678</v>
      </c>
      <c r="AB510" s="1" t="inlineStr">
        <is>
          <t>Художественная литература</t>
        </is>
      </c>
      <c r="AC510" s="1" t="inlineStr">
        <is>
          <t>Фантастика. Мистика. Ужасы</t>
        </is>
      </c>
      <c r="AD510" s="1" t="inlineStr">
        <is>
          <t>Фэнтези</t>
        </is>
      </c>
      <c r="AE510" s="1" t="inlineStr">
        <is>
          <t>офсетная</t>
        </is>
      </c>
      <c r="AG510" s="1" t="n">
        <v>10232640</v>
      </c>
      <c r="AI510" s="1" t="inlineStr">
        <is>
          <t>4901990000</t>
        </is>
      </c>
      <c r="AJ510" s="1" t="inlineStr">
        <is>
          <t>Зпв</t>
        </is>
      </c>
    </row>
    <row r="511" customFormat="1" s="1">
      <c r="C511" s="1" t="inlineStr">
        <is>
          <t xml:space="preserve">9672630             </t>
        </is>
      </c>
      <c r="D511" s="1" t="inlineStr">
        <is>
          <t>Вихрь</t>
        </is>
      </c>
      <c r="E511" s="1" t="inlineStr">
        <is>
          <t>Эона. Рождение легенды. Гудман Э.</t>
        </is>
      </c>
      <c r="F511" s="13" t="inlineStr">
        <is>
          <t>См.обл.</t>
        </is>
      </c>
      <c r="G511" s="1" t="inlineStr">
        <is>
          <t>Гудман Э.</t>
        </is>
      </c>
      <c r="H511" s="1" t="inlineStr">
        <is>
          <t>84х108/32</t>
        </is>
      </c>
      <c r="I511" s="1" t="n">
        <v>560</v>
      </c>
      <c r="J511" s="1" t="inlineStr">
        <is>
          <t>РИПОЛ Классик</t>
        </is>
      </c>
      <c r="M511" s="1" t="inlineStr">
        <is>
          <t>2021</t>
        </is>
      </c>
      <c r="N511" s="1" t="inlineStr">
        <is>
          <t>П</t>
        </is>
      </c>
      <c r="O511" s="9" t="n">
        <v>6</v>
      </c>
      <c r="P511" s="1">
        <f>ROUNDUP(1300*(1-$F$3),2)</f>
        <v/>
      </c>
      <c r="Q511" s="1" t="inlineStr">
        <is>
          <t> </t>
        </is>
      </c>
      <c r="R511" s="1" t="inlineStr">
        <is>
          <t>978-5-386-14183-7</t>
        </is>
      </c>
      <c r="S511" s="1" t="inlineStr">
        <is>
          <t>9785386141837</t>
        </is>
      </c>
      <c r="T511" s="9" t="n">
        <v>10</v>
      </c>
      <c r="U511" s="1">
        <f>ROUNDUP(1181.82*(1-$F$3),2)</f>
        <v/>
      </c>
      <c r="V511" s="1" t="n">
        <v>525</v>
      </c>
      <c r="Y511" s="1" t="inlineStr">
        <is>
          <t>Эона. Рождение легенды</t>
        </is>
      </c>
      <c r="Z511" s="1" t="inlineStr">
        <is>
          <t>16+</t>
        </is>
      </c>
      <c r="AA511" s="12" t="n">
        <v>44298</v>
      </c>
      <c r="AB511" s="1" t="inlineStr">
        <is>
          <t>Художественная литература</t>
        </is>
      </c>
      <c r="AC511" s="1" t="inlineStr">
        <is>
          <t>Фантастика. Мистика. Ужасы</t>
        </is>
      </c>
      <c r="AD511" s="1" t="inlineStr">
        <is>
          <t>Зарубежная фантастика</t>
        </is>
      </c>
      <c r="AE511" s="1" t="inlineStr">
        <is>
          <t>офсетная</t>
        </is>
      </c>
      <c r="AG511" s="1" t="n">
        <v>9672630</v>
      </c>
      <c r="AI511" s="1" t="inlineStr">
        <is>
          <t>4901990000</t>
        </is>
      </c>
    </row>
    <row r="512" customFormat="1" s="1">
      <c r="C512" s="1" t="inlineStr">
        <is>
          <t xml:space="preserve">10166370            </t>
        </is>
      </c>
      <c r="D512" s="1" t="inlineStr">
        <is>
          <t>Вихрь</t>
        </is>
      </c>
      <c r="E512" s="1" t="inlineStr">
        <is>
          <t>Ярко пылающая тень. Клусс Дж.</t>
        </is>
      </c>
      <c r="F512" s="13" t="inlineStr">
        <is>
          <t>См.обл.</t>
        </is>
      </c>
      <c r="G512" s="1" t="inlineStr">
        <is>
          <t>Клусс Дж.</t>
        </is>
      </c>
      <c r="H512" s="1" t="inlineStr">
        <is>
          <t>84х108/32</t>
        </is>
      </c>
      <c r="I512" s="1" t="n">
        <v>448</v>
      </c>
      <c r="J512" s="1" t="inlineStr">
        <is>
          <t>РИПОЛ Классик</t>
        </is>
      </c>
      <c r="M512" s="1" t="inlineStr">
        <is>
          <t>2022</t>
        </is>
      </c>
      <c r="N512" s="1" t="inlineStr">
        <is>
          <t>П</t>
        </is>
      </c>
      <c r="O512" s="9" t="n">
        <v>10</v>
      </c>
      <c r="P512" s="1">
        <f>ROUNDUP(1300*(1-$F$3),2)</f>
        <v/>
      </c>
      <c r="Q512" s="1" t="inlineStr">
        <is>
          <t> </t>
        </is>
      </c>
      <c r="R512" s="1" t="inlineStr">
        <is>
          <t>978-5-386-14621-4</t>
        </is>
      </c>
      <c r="S512" s="1" t="inlineStr">
        <is>
          <t>9785386146214</t>
        </is>
      </c>
      <c r="T512" s="9" t="n">
        <v>10</v>
      </c>
      <c r="U512" s="1">
        <f>ROUNDUP(1181.82*(1-$F$3),2)</f>
        <v/>
      </c>
      <c r="V512" s="1" t="n">
        <v>467</v>
      </c>
      <c r="Y512" s="1" t="inlineStr">
        <is>
          <t>Ярко пылающая тень</t>
        </is>
      </c>
      <c r="Z512" s="1" t="inlineStr">
        <is>
          <t>16+</t>
        </is>
      </c>
      <c r="AA512" s="12" t="n">
        <v>44678</v>
      </c>
      <c r="AB512" s="1" t="inlineStr">
        <is>
          <t>Художественная литература</t>
        </is>
      </c>
      <c r="AC512" s="1" t="inlineStr">
        <is>
          <t>Фантастика. Мистика. Ужасы</t>
        </is>
      </c>
      <c r="AD512" s="1" t="inlineStr">
        <is>
          <t>Фэнтези</t>
        </is>
      </c>
      <c r="AE512" s="1" t="inlineStr">
        <is>
          <t>офсетная</t>
        </is>
      </c>
      <c r="AG512" s="1" t="n">
        <v>10166370</v>
      </c>
      <c r="AI512" s="1" t="inlineStr">
        <is>
          <t>4901990000</t>
        </is>
      </c>
    </row>
    <row r="513" customFormat="1" s="1">
      <c r="C513" s="1" t="inlineStr">
        <is>
          <t xml:space="preserve">11953460            </t>
        </is>
      </c>
      <c r="D513" s="1" t="inlineStr">
        <is>
          <t>Внукознание</t>
        </is>
      </c>
      <c r="E513" s="1" t="inlineStr">
        <is>
          <t>Тайны современных внуков. Путеводитель для мудрых бабушек и дедушек. Михайлина Е</t>
        </is>
      </c>
      <c r="F513" s="13" t="inlineStr">
        <is>
          <t>См.обл.</t>
        </is>
      </c>
      <c r="G513" s="1" t="inlineStr">
        <is>
          <t>Михайлина Е</t>
        </is>
      </c>
      <c r="H513" s="1" t="inlineStr">
        <is>
          <t>60х90/16</t>
        </is>
      </c>
      <c r="I513" s="1" t="n">
        <v>400</v>
      </c>
      <c r="J513" s="1" t="inlineStr">
        <is>
          <t>РИПОЛ Классик</t>
        </is>
      </c>
      <c r="M513" s="1" t="inlineStr">
        <is>
          <t>2025</t>
        </is>
      </c>
      <c r="N513" s="1" t="inlineStr">
        <is>
          <t>П</t>
        </is>
      </c>
      <c r="O513" s="9" t="n">
        <v>8</v>
      </c>
      <c r="P513" s="1">
        <f>ROUNDUP(1260*(1-$F$3),2)</f>
        <v/>
      </c>
      <c r="Q513" s="1" t="inlineStr">
        <is>
          <t> </t>
        </is>
      </c>
      <c r="R513" s="1" t="inlineStr">
        <is>
          <t>978-5-386-15542-1</t>
        </is>
      </c>
      <c r="S513" s="1" t="inlineStr">
        <is>
          <t>9785386155421</t>
        </is>
      </c>
      <c r="T513" s="9" t="n">
        <v>10</v>
      </c>
      <c r="U513" s="1">
        <f>ROUNDUP(1145.45*(1-$F$3),2)</f>
        <v/>
      </c>
      <c r="V513" s="1" t="n">
        <v>562</v>
      </c>
      <c r="Y513" s="1" t="inlineStr">
        <is>
          <t>Тайны современных внуков. Путеводитель для мудрых бабушек и дедушек</t>
        </is>
      </c>
      <c r="Z513" s="1" t="inlineStr">
        <is>
          <t>12+</t>
        </is>
      </c>
      <c r="AA513" s="12" t="n">
        <v>45987</v>
      </c>
      <c r="AB513" s="1" t="inlineStr">
        <is>
          <t>Детская литература</t>
        </is>
      </c>
      <c r="AC513" s="1" t="inlineStr">
        <is>
          <t>Книги для родителей</t>
        </is>
      </c>
      <c r="AD513" s="1" t="inlineStr">
        <is>
          <t>Психология для родителей. Семейное воспитание</t>
        </is>
      </c>
      <c r="AE513" s="1" t="inlineStr">
        <is>
          <t>офсетная</t>
        </is>
      </c>
      <c r="AG513" s="1" t="n">
        <v>11953460</v>
      </c>
      <c r="AI513" s="1" t="inlineStr">
        <is>
          <t>4901990000</t>
        </is>
      </c>
    </row>
    <row r="514" customFormat="1" s="1">
      <c r="C514" s="1" t="inlineStr">
        <is>
          <t xml:space="preserve">11030290            </t>
        </is>
      </c>
      <c r="D514" s="1" t="inlineStr">
        <is>
          <t>Военная проза. Подарочные издания</t>
        </is>
      </c>
      <c r="E514" s="1" t="inlineStr">
        <is>
          <t>Горячий снег: роман. Бондарев Ю.В.</t>
        </is>
      </c>
      <c r="F514" s="13" t="inlineStr">
        <is>
          <t>См.обл.</t>
        </is>
      </c>
      <c r="G514" s="1" t="inlineStr">
        <is>
          <t>Бондарев Ю.В.</t>
        </is>
      </c>
      <c r="H514" s="1" t="inlineStr">
        <is>
          <t>70х90/16</t>
        </is>
      </c>
      <c r="I514" s="1" t="n">
        <v>480</v>
      </c>
      <c r="J514" s="1" t="inlineStr">
        <is>
          <t>РИПОЛ Классик</t>
        </is>
      </c>
      <c r="M514" s="1" t="inlineStr">
        <is>
          <t>2023</t>
        </is>
      </c>
      <c r="N514" s="1" t="inlineStr">
        <is>
          <t>П</t>
        </is>
      </c>
      <c r="O514" s="9" t="n">
        <v>4</v>
      </c>
      <c r="P514" s="1">
        <f>ROUNDUP(1230*(1-$F$3),2)</f>
        <v/>
      </c>
      <c r="Q514" s="1" t="inlineStr">
        <is>
          <t> </t>
        </is>
      </c>
      <c r="R514" s="1" t="inlineStr">
        <is>
          <t>978-5-386-15005-1</t>
        </is>
      </c>
      <c r="S514" s="1" t="inlineStr">
        <is>
          <t>9785386150051</t>
        </is>
      </c>
      <c r="T514" s="9" t="n">
        <v>10</v>
      </c>
      <c r="U514" s="1">
        <f>ROUNDUP(1118.18*(1-$F$3),2)</f>
        <v/>
      </c>
      <c r="V514" s="1" t="n">
        <v>659</v>
      </c>
      <c r="Y514" s="1" t="inlineStr">
        <is>
          <t>Горячий снег: роман</t>
        </is>
      </c>
      <c r="Z514" s="1" t="inlineStr">
        <is>
          <t>12+</t>
        </is>
      </c>
      <c r="AA514" s="12" t="n">
        <v>45164</v>
      </c>
      <c r="AB514" s="1" t="inlineStr">
        <is>
          <t>Художественная литература</t>
        </is>
      </c>
      <c r="AC514" s="1" t="inlineStr">
        <is>
          <t>Военная проза</t>
        </is>
      </c>
      <c r="AD514" s="1" t="inlineStr">
        <is>
          <t>Военная проза</t>
        </is>
      </c>
      <c r="AE514" s="1" t="inlineStr">
        <is>
          <t>не указано</t>
        </is>
      </c>
      <c r="AG514" s="1" t="n">
        <v>11030290</v>
      </c>
      <c r="AI514" s="1" t="inlineStr">
        <is>
          <t>4901990000</t>
        </is>
      </c>
    </row>
    <row r="515" customFormat="1" s="1">
      <c r="C515" s="1" t="inlineStr">
        <is>
          <t xml:space="preserve">10809730            </t>
        </is>
      </c>
      <c r="D515" s="1" t="inlineStr">
        <is>
          <t>Военная проза. Подарочные издания</t>
        </is>
      </c>
      <c r="E515" s="1" t="inlineStr">
        <is>
          <t>Молодая гвардия: роман. Фадеев А.А.</t>
        </is>
      </c>
      <c r="F515" s="13" t="inlineStr">
        <is>
          <t>См.обл.</t>
        </is>
      </c>
      <c r="G515" s="1" t="inlineStr">
        <is>
          <t>Фадеев А.А.</t>
        </is>
      </c>
      <c r="H515" s="1" t="inlineStr">
        <is>
          <t>70х90/16</t>
        </is>
      </c>
      <c r="I515" s="1" t="n">
        <v>696</v>
      </c>
      <c r="J515" s="1" t="inlineStr">
        <is>
          <t>РИПОЛ Классик</t>
        </is>
      </c>
      <c r="M515" s="1" t="inlineStr">
        <is>
          <t>2023</t>
        </is>
      </c>
      <c r="N515" s="1" t="inlineStr">
        <is>
          <t>П</t>
        </is>
      </c>
      <c r="O515" s="9" t="n">
        <v>3</v>
      </c>
      <c r="P515" s="1">
        <f>ROUNDUP(1690*(1-$F$3),2)</f>
        <v/>
      </c>
      <c r="Q515" s="1" t="inlineStr">
        <is>
          <t> </t>
        </is>
      </c>
      <c r="R515" s="1" t="inlineStr">
        <is>
          <t>978-5-386-14986-4</t>
        </is>
      </c>
      <c r="S515" s="1" t="inlineStr">
        <is>
          <t>9785386149864</t>
        </is>
      </c>
      <c r="T515" s="9" t="n">
        <v>10</v>
      </c>
      <c r="U515" s="1">
        <f>ROUNDUP(1536.36*(1-$F$3),2)</f>
        <v/>
      </c>
      <c r="V515" s="1" t="n">
        <v>1122</v>
      </c>
      <c r="Y515" s="1" t="inlineStr">
        <is>
          <t>Молодая гвардия: роман</t>
        </is>
      </c>
      <c r="Z515" s="1" t="inlineStr">
        <is>
          <t>16+</t>
        </is>
      </c>
      <c r="AA515" s="12" t="n">
        <v>44962</v>
      </c>
      <c r="AB515" s="1" t="inlineStr">
        <is>
          <t>Художественная литература</t>
        </is>
      </c>
      <c r="AC515" s="1" t="inlineStr">
        <is>
          <t>Военная проза</t>
        </is>
      </c>
      <c r="AD515" s="1" t="inlineStr">
        <is>
          <t>Военная проза</t>
        </is>
      </c>
      <c r="AE515" s="1" t="inlineStr">
        <is>
          <t>офсетная</t>
        </is>
      </c>
      <c r="AG515" s="1" t="n">
        <v>10809730</v>
      </c>
      <c r="AI515" s="1" t="inlineStr">
        <is>
          <t>4901990000</t>
        </is>
      </c>
    </row>
    <row r="516" customFormat="1" s="1">
      <c r="C516" s="1" t="inlineStr">
        <is>
          <t xml:space="preserve">10560370            </t>
        </is>
      </c>
      <c r="D516" s="1" t="inlineStr">
        <is>
          <t>Волшебная лавка Есении</t>
        </is>
      </c>
      <c r="E516" s="1" t="inlineStr">
        <is>
          <t>Дай пас!. Рой О.Ю.</t>
        </is>
      </c>
      <c r="F516" s="13" t="inlineStr">
        <is>
          <t>См.обл.</t>
        </is>
      </c>
      <c r="G516" s="1" t="inlineStr">
        <is>
          <t>Рой О.Ю.</t>
        </is>
      </c>
      <c r="H516" s="1" t="inlineStr">
        <is>
          <t>86х90/16</t>
        </is>
      </c>
      <c r="I516" s="1" t="n">
        <v>64</v>
      </c>
      <c r="J516" s="1" t="inlineStr">
        <is>
          <t>РИПОЛ Классик</t>
        </is>
      </c>
      <c r="M516" s="1" t="inlineStr">
        <is>
          <t>2022</t>
        </is>
      </c>
      <c r="N516" s="1" t="inlineStr">
        <is>
          <t>П</t>
        </is>
      </c>
      <c r="O516" s="9" t="n">
        <v>15</v>
      </c>
      <c r="P516" s="1">
        <f>ROUNDUP(1200*(1-$F$3),2)</f>
        <v/>
      </c>
      <c r="Q516" s="1" t="inlineStr">
        <is>
          <t> </t>
        </is>
      </c>
      <c r="R516" s="1" t="inlineStr">
        <is>
          <t>978-5-386-14886-7</t>
        </is>
      </c>
      <c r="S516" s="1" t="inlineStr">
        <is>
          <t>9785386148867</t>
        </is>
      </c>
      <c r="T516" s="9" t="n">
        <v>10</v>
      </c>
      <c r="U516" s="1">
        <f>ROUNDUP(1090.91*(1-$F$3),2)</f>
        <v/>
      </c>
      <c r="V516" s="1" t="n">
        <v>321</v>
      </c>
      <c r="Y516" s="1" t="inlineStr">
        <is>
          <t>Дай пас!</t>
        </is>
      </c>
      <c r="Z516" s="1" t="inlineStr">
        <is>
          <t>0 +</t>
        </is>
      </c>
      <c r="AA516" s="12" t="n">
        <v>44834</v>
      </c>
      <c r="AB516" s="1" t="inlineStr">
        <is>
          <t>Детская литература</t>
        </is>
      </c>
      <c r="AC516" s="1" t="inlineStr">
        <is>
          <t>Художественная литература</t>
        </is>
      </c>
      <c r="AD516" s="1" t="inlineStr">
        <is>
          <t>Литературная сказка</t>
        </is>
      </c>
      <c r="AE516" s="1" t="inlineStr">
        <is>
          <t>офсетная</t>
        </is>
      </c>
      <c r="AG516" s="1" t="n">
        <v>10560370</v>
      </c>
      <c r="AI516" s="1" t="inlineStr">
        <is>
          <t>4901990000</t>
        </is>
      </c>
    </row>
    <row r="517" customFormat="1" s="1">
      <c r="C517" s="1" t="inlineStr">
        <is>
          <t xml:space="preserve">10649370            </t>
        </is>
      </c>
      <c r="D517" s="1" t="inlineStr">
        <is>
          <t>Волшебная лавка Есении</t>
        </is>
      </c>
      <c r="E517" s="1" t="inlineStr">
        <is>
          <t>Неразговорчивое настроение. Рой О.Ю.</t>
        </is>
      </c>
      <c r="F517" s="13" t="inlineStr">
        <is>
          <t>См.обл.</t>
        </is>
      </c>
      <c r="G517" s="1" t="inlineStr">
        <is>
          <t>Рой О.Ю.</t>
        </is>
      </c>
      <c r="H517" s="1" t="inlineStr">
        <is>
          <t>86х90/16</t>
        </is>
      </c>
      <c r="I517" s="1" t="n">
        <v>64</v>
      </c>
      <c r="J517" s="1" t="inlineStr">
        <is>
          <t>РИПОЛ Классик</t>
        </is>
      </c>
      <c r="M517" s="1" t="inlineStr">
        <is>
          <t>2022</t>
        </is>
      </c>
      <c r="N517" s="1" t="inlineStr">
        <is>
          <t>П</t>
        </is>
      </c>
      <c r="O517" s="9" t="n">
        <v>15</v>
      </c>
      <c r="P517" s="1">
        <f>ROUNDUP(1200*(1-$F$3),2)</f>
        <v/>
      </c>
      <c r="Q517" s="1" t="inlineStr">
        <is>
          <t> </t>
        </is>
      </c>
      <c r="R517" s="1" t="inlineStr">
        <is>
          <t>978-5-386-14894-2</t>
        </is>
      </c>
      <c r="S517" s="1" t="inlineStr">
        <is>
          <t>9785386148942</t>
        </is>
      </c>
      <c r="T517" s="9" t="n">
        <v>10</v>
      </c>
      <c r="U517" s="1">
        <f>ROUNDUP(1090.91*(1-$F$3),2)</f>
        <v/>
      </c>
      <c r="V517" s="1" t="n">
        <v>321</v>
      </c>
      <c r="Y517" s="1" t="inlineStr">
        <is>
          <t>Неразговорчивое настроение</t>
        </is>
      </c>
      <c r="Z517" s="1" t="inlineStr">
        <is>
          <t>0 +</t>
        </is>
      </c>
      <c r="AA517" s="12" t="n">
        <v>44860</v>
      </c>
      <c r="AB517" s="1" t="inlineStr">
        <is>
          <t>Детская литература</t>
        </is>
      </c>
      <c r="AC517" s="1" t="inlineStr">
        <is>
          <t>Художественная литература</t>
        </is>
      </c>
      <c r="AD517" s="1" t="inlineStr">
        <is>
          <t>Литературная сказка</t>
        </is>
      </c>
      <c r="AE517" s="1" t="inlineStr">
        <is>
          <t>офсетная</t>
        </is>
      </c>
      <c r="AG517" s="1" t="n">
        <v>10649370</v>
      </c>
      <c r="AI517" s="1" t="inlineStr">
        <is>
          <t>4901990000</t>
        </is>
      </c>
    </row>
    <row r="518" customFormat="1" s="1">
      <c r="C518" s="1" t="inlineStr">
        <is>
          <t xml:space="preserve">10566060            </t>
        </is>
      </c>
      <c r="D518" s="1" t="inlineStr">
        <is>
          <t>Волшебная лавка Есении</t>
        </is>
      </c>
      <c r="E518" s="1" t="inlineStr">
        <is>
          <t>Нестройные кубики. Рой О.Ю.</t>
        </is>
      </c>
      <c r="F518" s="13" t="inlineStr">
        <is>
          <t>См.обл.</t>
        </is>
      </c>
      <c r="G518" s="1" t="inlineStr">
        <is>
          <t>Рой О.Ю.</t>
        </is>
      </c>
      <c r="H518" s="1" t="inlineStr">
        <is>
          <t>86х90/16</t>
        </is>
      </c>
      <c r="I518" s="1" t="n">
        <v>64</v>
      </c>
      <c r="J518" s="1" t="inlineStr">
        <is>
          <t>РИПОЛ Классик</t>
        </is>
      </c>
      <c r="M518" s="1" t="inlineStr">
        <is>
          <t>2022</t>
        </is>
      </c>
      <c r="N518" s="1" t="inlineStr">
        <is>
          <t>П</t>
        </is>
      </c>
      <c r="O518" s="9" t="n">
        <v>15</v>
      </c>
      <c r="P518" s="1">
        <f>ROUNDUP(1200*(1-$F$3),2)</f>
        <v/>
      </c>
      <c r="Q518" s="1" t="inlineStr">
        <is>
          <t> </t>
        </is>
      </c>
      <c r="R518" s="1" t="inlineStr">
        <is>
          <t>978-5-386-14887-4</t>
        </is>
      </c>
      <c r="S518" s="1" t="inlineStr">
        <is>
          <t>9785386148874</t>
        </is>
      </c>
      <c r="T518" s="9" t="n">
        <v>10</v>
      </c>
      <c r="U518" s="1">
        <f>ROUNDUP(1090.91*(1-$F$3),2)</f>
        <v/>
      </c>
      <c r="V518" s="1" t="n">
        <v>323</v>
      </c>
      <c r="Y518" s="1" t="inlineStr">
        <is>
          <t>Нестройные кубики</t>
        </is>
      </c>
      <c r="Z518" s="1" t="inlineStr">
        <is>
          <t>0 +</t>
        </is>
      </c>
      <c r="AA518" s="12" t="n">
        <v>44834</v>
      </c>
      <c r="AB518" s="1" t="inlineStr">
        <is>
          <t>Детская литература</t>
        </is>
      </c>
      <c r="AC518" s="1" t="inlineStr">
        <is>
          <t>Художественная литература</t>
        </is>
      </c>
      <c r="AD518" s="1" t="inlineStr">
        <is>
          <t>Литературная сказка</t>
        </is>
      </c>
      <c r="AE518" s="1" t="inlineStr">
        <is>
          <t>офсетная</t>
        </is>
      </c>
      <c r="AG518" s="1" t="n">
        <v>10566060</v>
      </c>
      <c r="AI518" s="1" t="inlineStr">
        <is>
          <t>4901990000</t>
        </is>
      </c>
    </row>
    <row r="519" customFormat="1" s="1">
      <c r="C519" s="1" t="inlineStr">
        <is>
          <t xml:space="preserve">10567470            </t>
        </is>
      </c>
      <c r="D519" s="1" t="inlineStr">
        <is>
          <t>Волшебная лавка Есении</t>
        </is>
      </c>
      <c r="E519" s="1" t="inlineStr">
        <is>
          <t>Ночная красавица. Рой О.Ю.</t>
        </is>
      </c>
      <c r="F519" s="13" t="inlineStr">
        <is>
          <t>См.обл.</t>
        </is>
      </c>
      <c r="G519" s="1" t="inlineStr">
        <is>
          <t>Рой О.Ю.</t>
        </is>
      </c>
      <c r="H519" s="1" t="inlineStr">
        <is>
          <t>86х90/16</t>
        </is>
      </c>
      <c r="I519" s="1" t="n">
        <v>64</v>
      </c>
      <c r="J519" s="1" t="inlineStr">
        <is>
          <t>РИПОЛ Классик</t>
        </is>
      </c>
      <c r="M519" s="1" t="inlineStr">
        <is>
          <t>2022</t>
        </is>
      </c>
      <c r="N519" s="1" t="inlineStr">
        <is>
          <t>П</t>
        </is>
      </c>
      <c r="O519" s="9" t="n">
        <v>15</v>
      </c>
      <c r="P519" s="1">
        <f>ROUNDUP(1200*(1-$F$3),2)</f>
        <v/>
      </c>
      <c r="Q519" s="1" t="inlineStr">
        <is>
          <t> </t>
        </is>
      </c>
      <c r="R519" s="1" t="inlineStr">
        <is>
          <t>978-5-386-14889-8</t>
        </is>
      </c>
      <c r="S519" s="1" t="inlineStr">
        <is>
          <t>9785386148898</t>
        </is>
      </c>
      <c r="T519" s="9" t="n">
        <v>10</v>
      </c>
      <c r="U519" s="1">
        <f>ROUNDUP(1090.91*(1-$F$3),2)</f>
        <v/>
      </c>
      <c r="V519" s="1" t="n">
        <v>321</v>
      </c>
      <c r="Y519" s="1" t="inlineStr">
        <is>
          <t>Ночная красавица</t>
        </is>
      </c>
      <c r="Z519" s="1" t="inlineStr">
        <is>
          <t>0 +</t>
        </is>
      </c>
      <c r="AA519" s="12" t="n">
        <v>44834</v>
      </c>
      <c r="AB519" s="1" t="inlineStr">
        <is>
          <t>Детская литература</t>
        </is>
      </c>
      <c r="AC519" s="1" t="inlineStr">
        <is>
          <t>Художественная литература</t>
        </is>
      </c>
      <c r="AD519" s="1" t="inlineStr">
        <is>
          <t>Литературная сказка</t>
        </is>
      </c>
      <c r="AE519" s="1" t="inlineStr">
        <is>
          <t>офсетная</t>
        </is>
      </c>
      <c r="AG519" s="1" t="n">
        <v>10567470</v>
      </c>
      <c r="AI519" s="1" t="inlineStr">
        <is>
          <t>4901990000</t>
        </is>
      </c>
    </row>
    <row r="520" customFormat="1" s="1">
      <c r="C520" s="1" t="inlineStr">
        <is>
          <t xml:space="preserve">10631020            </t>
        </is>
      </c>
      <c r="D520" s="1" t="inlineStr">
        <is>
          <t>Волшебная лавка Есении</t>
        </is>
      </c>
      <c r="E520" s="1" t="inlineStr">
        <is>
          <t>Успокоительные вертелки. Рой О.Ю.</t>
        </is>
      </c>
      <c r="F520" s="13" t="inlineStr">
        <is>
          <t>См.обл.</t>
        </is>
      </c>
      <c r="G520" s="1" t="inlineStr">
        <is>
          <t>Рой О.Ю.</t>
        </is>
      </c>
      <c r="H520" s="1" t="inlineStr">
        <is>
          <t>86х90/16</t>
        </is>
      </c>
      <c r="I520" s="1" t="n">
        <v>64</v>
      </c>
      <c r="J520" s="1" t="inlineStr">
        <is>
          <t>РИПОЛ Классик</t>
        </is>
      </c>
      <c r="M520" s="1" t="inlineStr">
        <is>
          <t>2022</t>
        </is>
      </c>
      <c r="N520" s="1" t="inlineStr">
        <is>
          <t>П</t>
        </is>
      </c>
      <c r="O520" s="9" t="n">
        <v>15</v>
      </c>
      <c r="P520" s="1">
        <f>ROUNDUP(1200*(1-$F$3),2)</f>
        <v/>
      </c>
      <c r="Q520" s="1" t="inlineStr">
        <is>
          <t> </t>
        </is>
      </c>
      <c r="R520" s="1" t="inlineStr">
        <is>
          <t>978-5-386-14893-5</t>
        </is>
      </c>
      <c r="S520" s="1" t="inlineStr">
        <is>
          <t>9785386148935</t>
        </is>
      </c>
      <c r="T520" s="9" t="n">
        <v>10</v>
      </c>
      <c r="U520" s="1">
        <f>ROUNDUP(1090.91*(1-$F$3),2)</f>
        <v/>
      </c>
      <c r="V520" s="1" t="n">
        <v>317</v>
      </c>
      <c r="Y520" s="1" t="inlineStr">
        <is>
          <t>Успокоительные вертелки</t>
        </is>
      </c>
      <c r="Z520" s="1" t="inlineStr">
        <is>
          <t>0 +</t>
        </is>
      </c>
      <c r="AA520" s="12" t="n">
        <v>44860</v>
      </c>
      <c r="AB520" s="1" t="inlineStr">
        <is>
          <t>Детская литература</t>
        </is>
      </c>
      <c r="AC520" s="1" t="inlineStr">
        <is>
          <t>Художественная литература</t>
        </is>
      </c>
      <c r="AD520" s="1" t="inlineStr">
        <is>
          <t>Литературная сказка</t>
        </is>
      </c>
      <c r="AE520" s="1" t="inlineStr">
        <is>
          <t>офсетная</t>
        </is>
      </c>
      <c r="AG520" s="1" t="n">
        <v>10631020</v>
      </c>
      <c r="AI520" s="1" t="inlineStr">
        <is>
          <t>4901990000</t>
        </is>
      </c>
    </row>
    <row r="521" customFormat="1" s="1">
      <c r="C521" s="1" t="inlineStr">
        <is>
          <t xml:space="preserve">9585890             </t>
        </is>
      </c>
      <c r="D521" s="1" t="inlineStr">
        <is>
          <t>Волшебный мир</t>
        </is>
      </c>
      <c r="E521" s="1" t="inlineStr">
        <is>
          <t>Магазин из Ниоткуда. МакКензи Р.</t>
        </is>
      </c>
      <c r="F521" s="13" t="inlineStr">
        <is>
          <t>См.обл.</t>
        </is>
      </c>
      <c r="G521" s="1" t="inlineStr">
        <is>
          <t>МакКензи Р.</t>
        </is>
      </c>
      <c r="H521" s="1" t="inlineStr">
        <is>
          <t>60х90/16</t>
        </is>
      </c>
      <c r="I521" s="1" t="n">
        <v>288</v>
      </c>
      <c r="J521" s="1" t="inlineStr">
        <is>
          <t>РИПОЛ Классик</t>
        </is>
      </c>
      <c r="M521" s="1" t="inlineStr">
        <is>
          <t>2021</t>
        </is>
      </c>
      <c r="N521" s="1" t="inlineStr">
        <is>
          <t>П</t>
        </is>
      </c>
      <c r="O521" s="9" t="n">
        <v>14</v>
      </c>
      <c r="P521" s="1">
        <f>ROUNDUP(950*(1-$F$3),2)</f>
        <v/>
      </c>
      <c r="Q521" s="1" t="inlineStr">
        <is>
          <t> </t>
        </is>
      </c>
      <c r="R521" s="1" t="inlineStr">
        <is>
          <t>978-5-386-13911-7</t>
        </is>
      </c>
      <c r="S521" s="1" t="inlineStr">
        <is>
          <t>9785386139117</t>
        </is>
      </c>
      <c r="T521" s="9" t="n">
        <v>10</v>
      </c>
      <c r="U521" s="1">
        <f>ROUNDUP(863.64*(1-$F$3),2)</f>
        <v/>
      </c>
      <c r="V521" s="1" t="n">
        <v>397</v>
      </c>
      <c r="Y521" s="1" t="inlineStr">
        <is>
          <t>Магазин из Ниоткуда</t>
        </is>
      </c>
      <c r="Z521" s="1" t="inlineStr">
        <is>
          <t>12+</t>
        </is>
      </c>
      <c r="AA521" s="12" t="n">
        <v>44189</v>
      </c>
      <c r="AB521" s="1" t="inlineStr">
        <is>
          <t>Художественная литература</t>
        </is>
      </c>
      <c r="AC521" s="1" t="inlineStr">
        <is>
          <t>Фантастика. Мистика. Ужасы</t>
        </is>
      </c>
      <c r="AD521" s="1" t="inlineStr">
        <is>
          <t>Зарубежная фантастика</t>
        </is>
      </c>
      <c r="AE521" s="1" t="inlineStr">
        <is>
          <t>офсетная</t>
        </is>
      </c>
      <c r="AG521" s="1" t="n">
        <v>9585890</v>
      </c>
      <c r="AI521" s="1" t="inlineStr">
        <is>
          <t>4901990000</t>
        </is>
      </c>
    </row>
    <row r="522" customFormat="1" s="1">
      <c r="C522" s="1" t="inlineStr">
        <is>
          <t xml:space="preserve">10021680            </t>
        </is>
      </c>
      <c r="D522" s="1" t="inlineStr">
        <is>
          <t>Восток</t>
        </is>
      </c>
      <c r="E522" s="1" t="inlineStr">
        <is>
          <t>Цветы в тумане. Вглядываясь в Азию. Малявин В.В.</t>
        </is>
      </c>
      <c r="F522" s="13" t="inlineStr">
        <is>
          <t>См.обл.</t>
        </is>
      </c>
      <c r="G522" s="1" t="inlineStr">
        <is>
          <t>Малявин В.В.</t>
        </is>
      </c>
      <c r="H522" s="1" t="inlineStr">
        <is>
          <t>70х90/16</t>
        </is>
      </c>
      <c r="I522" s="1" t="n">
        <v>512</v>
      </c>
      <c r="J522" s="1" t="inlineStr">
        <is>
          <t>РИПОЛ Классик</t>
        </is>
      </c>
      <c r="K522" s="1" t="inlineStr">
        <is>
          <t>RUGRAM_РИПОЛ Классик</t>
        </is>
      </c>
      <c r="M522" s="1" t="inlineStr">
        <is>
          <t>2022</t>
        </is>
      </c>
      <c r="N522" s="1" t="inlineStr">
        <is>
          <t>П</t>
        </is>
      </c>
      <c r="O522" s="9" t="n">
        <v>8</v>
      </c>
      <c r="P522" s="1">
        <f>ROUNDUP(1820*(1-$F$3),2)</f>
        <v/>
      </c>
      <c r="Q522" s="1" t="inlineStr">
        <is>
          <t> </t>
        </is>
      </c>
      <c r="R522" s="1" t="inlineStr">
        <is>
          <t>978-5-386-14445-6</t>
        </is>
      </c>
      <c r="S522" s="1" t="inlineStr">
        <is>
          <t>9785386144456</t>
        </is>
      </c>
      <c r="T522" s="9" t="n">
        <v>10</v>
      </c>
      <c r="U522" s="1">
        <f>ROUNDUP(1654.55*(1-$F$3),2)</f>
        <v/>
      </c>
      <c r="V522" s="1" t="n">
        <v>748</v>
      </c>
      <c r="Y522" s="1" t="inlineStr">
        <is>
          <t>Цветы в тумане. Вглядываясь в Азию</t>
        </is>
      </c>
      <c r="Z522" s="1" t="inlineStr">
        <is>
          <t>16+</t>
        </is>
      </c>
      <c r="AA522" s="12" t="n">
        <v>44634</v>
      </c>
      <c r="AB522" s="1" t="inlineStr">
        <is>
          <t>Художественно-документальная проза</t>
        </is>
      </c>
      <c r="AC522" s="1" t="inlineStr">
        <is>
          <t>Публицистика</t>
        </is>
      </c>
      <c r="AD522" s="1" t="inlineStr">
        <is>
          <t>Рассказы путешественников и натуралистов</t>
        </is>
      </c>
      <c r="AE522" s="1" t="inlineStr">
        <is>
          <t>офсетная</t>
        </is>
      </c>
      <c r="AG522" s="1" t="n">
        <v>10021680</v>
      </c>
      <c r="AI522" s="1" t="inlineStr">
        <is>
          <t>4901990000</t>
        </is>
      </c>
    </row>
    <row r="523" customFormat="1" s="1">
      <c r="C523" s="1" t="inlineStr">
        <is>
          <t xml:space="preserve">8872850             </t>
        </is>
      </c>
      <c r="D523" s="1" t="inlineStr">
        <is>
          <t>Восточная библиотека</t>
        </is>
      </c>
      <c r="E523" s="1" t="inlineStr">
        <is>
          <t>Монахи-волшебники: рассказы. Пу Сунли</t>
        </is>
      </c>
      <c r="F523" s="13" t="inlineStr">
        <is>
          <t>См.обл.</t>
        </is>
      </c>
      <c r="G523" s="1" t="inlineStr">
        <is>
          <t>Пу Сунли</t>
        </is>
      </c>
      <c r="H523" s="1" t="inlineStr">
        <is>
          <t>80х100/32</t>
        </is>
      </c>
      <c r="I523" s="1" t="n">
        <v>431</v>
      </c>
      <c r="J523" s="1" t="inlineStr">
        <is>
          <t>РИПОЛ Классик</t>
        </is>
      </c>
      <c r="K523" s="1" t="inlineStr">
        <is>
          <t>Пальмира</t>
        </is>
      </c>
      <c r="M523" s="1" t="inlineStr">
        <is>
          <t>2019</t>
        </is>
      </c>
      <c r="N523" s="1" t="inlineStr">
        <is>
          <t>О</t>
        </is>
      </c>
      <c r="O523" s="9" t="n">
        <v>8</v>
      </c>
      <c r="P523" s="1">
        <f>ROUNDUP(1054.7*(1-$F$3),2)</f>
        <v/>
      </c>
      <c r="Q523" s="1" t="inlineStr">
        <is>
          <t> </t>
        </is>
      </c>
      <c r="R523" s="1" t="inlineStr">
        <is>
          <t>978-5-386-12364-2</t>
        </is>
      </c>
      <c r="S523" s="1" t="inlineStr">
        <is>
          <t>9785386123642</t>
        </is>
      </c>
      <c r="T523" s="9" t="n">
        <v>10</v>
      </c>
      <c r="U523" s="1">
        <f>ROUNDUP(958.82*(1-$F$3),2)</f>
        <v/>
      </c>
      <c r="V523" s="1" t="n">
        <v>321</v>
      </c>
      <c r="Y523" s="1" t="inlineStr">
        <is>
          <t>Монахи-волшебники: рассказы</t>
        </is>
      </c>
      <c r="Z523" s="1" t="inlineStr">
        <is>
          <t>16+</t>
        </is>
      </c>
      <c r="AA523" s="12" t="n">
        <v>43447</v>
      </c>
      <c r="AB523" s="1" t="inlineStr">
        <is>
          <t>Художественная литература</t>
        </is>
      </c>
      <c r="AC523" s="1" t="inlineStr">
        <is>
          <t>Зарубежная литература</t>
        </is>
      </c>
      <c r="AD523" s="1" t="inlineStr">
        <is>
          <t>Литература стран Азии и Африки</t>
        </is>
      </c>
      <c r="AE523" s="1" t="inlineStr">
        <is>
          <t>офсетная</t>
        </is>
      </c>
      <c r="AG523" s="1" t="n">
        <v>8872850</v>
      </c>
      <c r="AI523" s="1" t="inlineStr">
        <is>
          <t>4901990000</t>
        </is>
      </c>
    </row>
    <row r="524" customFormat="1" s="1">
      <c r="C524" s="1" t="inlineStr">
        <is>
          <t>8756570</t>
        </is>
      </c>
      <c r="D524" s="1" t="inlineStr">
        <is>
          <t>Восточная библиотека</t>
        </is>
      </c>
      <c r="E524" s="1" t="inlineStr">
        <is>
          <t>Странные истории: рассказы. Пу Сунли</t>
        </is>
      </c>
      <c r="F524" s="13" t="inlineStr">
        <is>
          <t>См.обл.</t>
        </is>
      </c>
      <c r="G524" s="1" t="inlineStr">
        <is>
          <t>Пу Сунли</t>
        </is>
      </c>
      <c r="H524" s="1" t="inlineStr">
        <is>
          <t>80х100/32</t>
        </is>
      </c>
      <c r="I524" s="1" t="n">
        <v>320</v>
      </c>
      <c r="J524" s="1" t="inlineStr">
        <is>
          <t>РИПОЛ Классик</t>
        </is>
      </c>
      <c r="K524" s="1" t="inlineStr">
        <is>
          <t>Пальмира</t>
        </is>
      </c>
      <c r="M524" s="1" t="inlineStr">
        <is>
          <t>2020</t>
        </is>
      </c>
      <c r="N524" s="1" t="inlineStr">
        <is>
          <t>О</t>
        </is>
      </c>
      <c r="O524" s="9" t="n">
        <v>18</v>
      </c>
      <c r="P524" s="1">
        <f>ROUNDUP(883.1*(1-$F$3),2)</f>
        <v/>
      </c>
      <c r="Q524" s="1" t="inlineStr">
        <is>
          <t> </t>
        </is>
      </c>
      <c r="R524" s="1" t="inlineStr">
        <is>
          <t>978-5-386-12010-8</t>
        </is>
      </c>
      <c r="S524" s="1" t="inlineStr">
        <is>
          <t>9785386120108</t>
        </is>
      </c>
      <c r="T524" s="9" t="n">
        <v>10</v>
      </c>
      <c r="U524" s="1">
        <f>ROUNDUP(802.82*(1-$F$3),2)</f>
        <v/>
      </c>
      <c r="V524" s="1" t="n">
        <v>242</v>
      </c>
      <c r="Y524" s="1" t="inlineStr">
        <is>
          <t>Странные истории: рассказы</t>
        </is>
      </c>
      <c r="Z524" s="1" t="inlineStr">
        <is>
          <t>16+</t>
        </is>
      </c>
      <c r="AA524" s="12" t="n">
        <v>43353</v>
      </c>
      <c r="AB524" s="1" t="inlineStr">
        <is>
          <t>Художественная литература</t>
        </is>
      </c>
      <c r="AC524" s="1" t="inlineStr">
        <is>
          <t>Фантастика. Мистика. Ужасы</t>
        </is>
      </c>
      <c r="AD524" s="1" t="inlineStr">
        <is>
          <t>Фэнтези</t>
        </is>
      </c>
      <c r="AE524" s="1" t="inlineStr">
        <is>
          <t>офсетная</t>
        </is>
      </c>
      <c r="AG524" s="1" t="n">
        <v>8756570</v>
      </c>
      <c r="AI524" s="1" t="inlineStr">
        <is>
          <t>4901990000</t>
        </is>
      </c>
    </row>
    <row r="525" customFormat="1" s="1">
      <c r="C525" s="1" t="inlineStr">
        <is>
          <t xml:space="preserve">8805600             </t>
        </is>
      </c>
      <c r="D525" s="1" t="inlineStr">
        <is>
          <t>Вселенная историй</t>
        </is>
      </c>
      <c r="E525" s="1" t="inlineStr">
        <is>
          <t>Маленький Йоханнес: сказка. Эден Ф. Ван</t>
        </is>
      </c>
      <c r="F525" s="13" t="inlineStr">
        <is>
          <t>См.обл.</t>
        </is>
      </c>
      <c r="G525" s="1" t="inlineStr">
        <is>
          <t>Эден Ф. Ван</t>
        </is>
      </c>
      <c r="H525" s="1" t="inlineStr">
        <is>
          <t>60х90/16</t>
        </is>
      </c>
      <c r="I525" s="1" t="n">
        <v>206</v>
      </c>
      <c r="J525" s="1" t="inlineStr">
        <is>
          <t>РИПОЛ Классик</t>
        </is>
      </c>
      <c r="K525" s="1" t="inlineStr">
        <is>
          <t>Пальмира</t>
        </is>
      </c>
      <c r="M525" s="1" t="inlineStr">
        <is>
          <t>2018</t>
        </is>
      </c>
      <c r="N525" s="1" t="inlineStr">
        <is>
          <t>П</t>
        </is>
      </c>
      <c r="O525" s="9" t="n">
        <v>16</v>
      </c>
      <c r="P525" s="1">
        <f>ROUNDUP(1023.9*(1-$F$3),2)</f>
        <v/>
      </c>
      <c r="Q525" s="1" t="inlineStr">
        <is>
          <t> </t>
        </is>
      </c>
      <c r="R525" s="1" t="inlineStr">
        <is>
          <t>978-5-386-12194-5</t>
        </is>
      </c>
      <c r="S525" s="1" t="inlineStr">
        <is>
          <t>9785386121945</t>
        </is>
      </c>
      <c r="T525" s="9" t="n">
        <v>10</v>
      </c>
      <c r="U525" s="1">
        <f>ROUNDUP(930.82*(1-$F$3),2)</f>
        <v/>
      </c>
      <c r="V525" s="1" t="n">
        <v>311</v>
      </c>
      <c r="Y525" s="1" t="inlineStr">
        <is>
          <t>Маленький Йоханнес: сказка</t>
        </is>
      </c>
      <c r="Z525" s="1" t="inlineStr">
        <is>
          <t>12+</t>
        </is>
      </c>
      <c r="AA525" s="12" t="n">
        <v>43381</v>
      </c>
      <c r="AB525" s="1" t="inlineStr">
        <is>
          <t>Художественная литература</t>
        </is>
      </c>
      <c r="AC525" s="1" t="inlineStr">
        <is>
          <t>Зарубежная литература</t>
        </is>
      </c>
      <c r="AD525" s="1" t="inlineStr">
        <is>
          <t>Европейская литература</t>
        </is>
      </c>
      <c r="AE525" s="1" t="inlineStr">
        <is>
          <t>офсетная</t>
        </is>
      </c>
      <c r="AG525" s="1" t="n">
        <v>8805600</v>
      </c>
      <c r="AI525" s="1" t="inlineStr">
        <is>
          <t>4901990000</t>
        </is>
      </c>
    </row>
    <row r="526" customFormat="1" s="1">
      <c r="C526" s="1" t="inlineStr">
        <is>
          <t xml:space="preserve">8221760             </t>
        </is>
      </c>
      <c r="D526" s="1" t="inlineStr">
        <is>
          <t>Вселенная историй</t>
        </is>
      </c>
      <c r="E526" s="1" t="inlineStr">
        <is>
          <t>Четырнадцатая золотая рыбка. Холм Дж.Л.</t>
        </is>
      </c>
      <c r="F526" s="13" t="inlineStr">
        <is>
          <t>См.обл.</t>
        </is>
      </c>
      <c r="G526" s="1" t="inlineStr">
        <is>
          <t>Холм Дж.Л.</t>
        </is>
      </c>
      <c r="H526" s="1" t="inlineStr">
        <is>
          <t>60х90/16</t>
        </is>
      </c>
      <c r="I526" s="1" t="n">
        <v>208</v>
      </c>
      <c r="J526" s="1" t="inlineStr">
        <is>
          <t>РИПОЛ Классик</t>
        </is>
      </c>
      <c r="M526" s="1" t="inlineStr">
        <is>
          <t>2017</t>
        </is>
      </c>
      <c r="N526" s="1" t="inlineStr">
        <is>
          <t>П</t>
        </is>
      </c>
      <c r="O526" s="9" t="n">
        <v>12</v>
      </c>
      <c r="P526" s="1">
        <f>ROUNDUP(1060*(1-$F$3),2)</f>
        <v/>
      </c>
      <c r="Q526" s="1" t="inlineStr">
        <is>
          <t> </t>
        </is>
      </c>
      <c r="R526" s="1" t="inlineStr">
        <is>
          <t>978-5-386-10239-5</t>
        </is>
      </c>
      <c r="S526" s="1" t="inlineStr">
        <is>
          <t>9785386102395</t>
        </is>
      </c>
      <c r="T526" s="9" t="n">
        <v>10</v>
      </c>
      <c r="U526" s="1">
        <f>ROUNDUP(963.64*(1-$F$3),2)</f>
        <v/>
      </c>
      <c r="V526" s="1" t="n">
        <v>353</v>
      </c>
      <c r="Y526" s="1" t="inlineStr">
        <is>
          <t>Четырнадцатая золотая рыбка</t>
        </is>
      </c>
      <c r="Z526" s="1" t="inlineStr">
        <is>
          <t>12+</t>
        </is>
      </c>
      <c r="AA526" s="12" t="n">
        <v>42971</v>
      </c>
      <c r="AB526" s="1" t="inlineStr">
        <is>
          <t>Художественная литература</t>
        </is>
      </c>
      <c r="AC526" s="1" t="inlineStr">
        <is>
          <t>Зарубежная литература</t>
        </is>
      </c>
      <c r="AD526" s="1" t="inlineStr">
        <is>
          <t>Литература Америки и Австралии</t>
        </is>
      </c>
      <c r="AE526" s="1" t="inlineStr">
        <is>
          <t>офсетная</t>
        </is>
      </c>
      <c r="AG526" s="1" t="n">
        <v>8221760</v>
      </c>
      <c r="AI526" s="1" t="inlineStr">
        <is>
          <t>4901990000</t>
        </is>
      </c>
    </row>
    <row r="527" customFormat="1" s="1">
      <c r="C527" s="1" t="inlineStr">
        <is>
          <t xml:space="preserve">9111480             </t>
        </is>
      </c>
      <c r="D527" s="1" t="inlineStr">
        <is>
          <t>Выбор редакции</t>
        </is>
      </c>
      <c r="E527" s="1" t="inlineStr">
        <is>
          <t>Город женщин: роман. Гилберт Э.</t>
        </is>
      </c>
      <c r="F527" s="13" t="inlineStr">
        <is>
          <t>См.обл.</t>
        </is>
      </c>
      <c r="G527" s="1" t="inlineStr">
        <is>
          <t>Гилберт Э.</t>
        </is>
      </c>
      <c r="H527" s="1" t="inlineStr">
        <is>
          <t>60х90/16</t>
        </is>
      </c>
      <c r="I527" s="1" t="n">
        <v>464</v>
      </c>
      <c r="J527" s="1" t="inlineStr">
        <is>
          <t>РИПОЛ Классик</t>
        </is>
      </c>
      <c r="K527" s="1" t="inlineStr">
        <is>
          <t>Пальмира</t>
        </is>
      </c>
      <c r="M527" s="1" t="inlineStr">
        <is>
          <t>2026</t>
        </is>
      </c>
      <c r="N527" s="1" t="inlineStr">
        <is>
          <t>П</t>
        </is>
      </c>
      <c r="O527" s="9" t="n">
        <v>6</v>
      </c>
      <c r="P527" s="1">
        <f>ROUNDUP(1190*(1-$F$3),2)</f>
        <v/>
      </c>
      <c r="Q527" s="1" t="inlineStr">
        <is>
          <t> </t>
        </is>
      </c>
      <c r="R527" s="1" t="inlineStr">
        <is>
          <t>978-5-386-12755-8</t>
        </is>
      </c>
      <c r="S527" s="1" t="inlineStr">
        <is>
          <t>9785386127558</t>
        </is>
      </c>
      <c r="T527" s="9" t="n">
        <v>10</v>
      </c>
      <c r="U527" s="1">
        <f>ROUNDUP(1081.82*(1-$F$3),2)</f>
        <v/>
      </c>
      <c r="V527" s="1" t="n">
        <v>491</v>
      </c>
      <c r="Y527" s="1" t="inlineStr">
        <is>
          <t>Город женщин: роман</t>
        </is>
      </c>
      <c r="Z527" s="1" t="inlineStr">
        <is>
          <t>16+</t>
        </is>
      </c>
      <c r="AA527" s="12" t="n">
        <v>43694</v>
      </c>
      <c r="AB527" s="1" t="inlineStr">
        <is>
          <t>Художественная литература</t>
        </is>
      </c>
      <c r="AC527" s="1" t="inlineStr">
        <is>
          <t>Зарубежная литература</t>
        </is>
      </c>
      <c r="AD527" s="1" t="inlineStr">
        <is>
          <t>Литература Америки и Австралии</t>
        </is>
      </c>
      <c r="AE527" s="1" t="inlineStr">
        <is>
          <t>офсетная</t>
        </is>
      </c>
      <c r="AG527" s="1" t="n">
        <v>9111480</v>
      </c>
      <c r="AI527" s="1" t="inlineStr">
        <is>
          <t>4901990000</t>
        </is>
      </c>
    </row>
    <row r="528" customFormat="1" s="1">
      <c r="C528" s="1" t="inlineStr">
        <is>
          <t xml:space="preserve">8456270             </t>
        </is>
      </c>
      <c r="D528" s="1" t="inlineStr">
        <is>
          <t>Выздоравливай</t>
        </is>
      </c>
      <c r="E528" s="1" t="inlineStr">
        <is>
          <t>Как жить лучше и дольше. Симэ М.</t>
        </is>
      </c>
      <c r="F528" s="13" t="inlineStr">
        <is>
          <t>См.обл.</t>
        </is>
      </c>
      <c r="G528" s="1" t="inlineStr">
        <is>
          <t>Симэ М.</t>
        </is>
      </c>
      <c r="H528" s="1" t="inlineStr">
        <is>
          <t>60х90/16</t>
        </is>
      </c>
      <c r="I528" s="1" t="n">
        <v>296</v>
      </c>
      <c r="J528" s="1" t="inlineStr">
        <is>
          <t>РИПОЛ Классик</t>
        </is>
      </c>
      <c r="M528" s="1" t="inlineStr">
        <is>
          <t>2018</t>
        </is>
      </c>
      <c r="N528" s="1" t="inlineStr">
        <is>
          <t>П</t>
        </is>
      </c>
      <c r="O528" s="9" t="n">
        <v>12</v>
      </c>
      <c r="P528" s="1">
        <f>ROUNDUP(971.5*(1-$F$3),2)</f>
        <v/>
      </c>
      <c r="Q528" s="1" t="inlineStr">
        <is>
          <t> </t>
        </is>
      </c>
      <c r="R528" s="1" t="inlineStr">
        <is>
          <t>978-5-386-10254-8</t>
        </is>
      </c>
      <c r="S528" s="1" t="inlineStr">
        <is>
          <t>9785386102548</t>
        </is>
      </c>
      <c r="T528" s="9" t="n">
        <v>10</v>
      </c>
      <c r="U528" s="1">
        <f>ROUNDUP(883.18*(1-$F$3),2)</f>
        <v/>
      </c>
      <c r="V528" s="1" t="n">
        <v>459</v>
      </c>
      <c r="Y528" s="1" t="inlineStr">
        <is>
          <t>Как жить лучше и дольше</t>
        </is>
      </c>
      <c r="Z528" s="1" t="inlineStr">
        <is>
          <t>16+</t>
        </is>
      </c>
      <c r="AA528" s="12" t="n">
        <v>43184</v>
      </c>
      <c r="AB528" s="1" t="inlineStr">
        <is>
          <t>Гуманитарные науки</t>
        </is>
      </c>
      <c r="AC528" s="1" t="inlineStr">
        <is>
          <t>Психология</t>
        </is>
      </c>
      <c r="AD528" s="1" t="inlineStr">
        <is>
          <t>Психотерапия</t>
        </is>
      </c>
      <c r="AE528" s="1" t="inlineStr">
        <is>
          <t>офсетная</t>
        </is>
      </c>
      <c r="AG528" s="1" t="n">
        <v>8456270</v>
      </c>
      <c r="AI528" s="1" t="inlineStr">
        <is>
          <t>4901990000</t>
        </is>
      </c>
    </row>
    <row r="529" customFormat="1" s="1">
      <c r="C529" s="1" t="inlineStr">
        <is>
          <t>157822</t>
        </is>
      </c>
      <c r="D529" s="1" t="inlineStr">
        <is>
          <t>Гарвардская школа бизнеса. Законы управления бизнесом и людьми</t>
        </is>
      </c>
      <c r="E529" s="1" t="inlineStr">
        <is>
          <t>Остаться навсегда новичком или стать ведущим. Егорова В.Н.</t>
        </is>
      </c>
      <c r="F529" s="13" t="inlineStr">
        <is>
          <t>См.обл.</t>
        </is>
      </c>
      <c r="G529" s="1" t="inlineStr">
        <is>
          <t>Егорова В.Н.</t>
        </is>
      </c>
      <c r="H529" s="1" t="inlineStr">
        <is>
          <t>70х100/32</t>
        </is>
      </c>
      <c r="I529" s="1" t="n">
        <v>96</v>
      </c>
      <c r="J529" s="1" t="inlineStr">
        <is>
          <t>РИПОЛ Классик</t>
        </is>
      </c>
      <c r="M529" s="1" t="inlineStr">
        <is>
          <t>2009</t>
        </is>
      </c>
      <c r="N529" s="1" t="inlineStr">
        <is>
          <t>О</t>
        </is>
      </c>
      <c r="O529" s="9" t="n">
        <v>32</v>
      </c>
      <c r="P529" s="1">
        <f>ROUNDUP(694.2*(1-$F$3),2)</f>
        <v/>
      </c>
      <c r="Q529" s="1" t="inlineStr">
        <is>
          <t> </t>
        </is>
      </c>
      <c r="R529" s="1" t="inlineStr">
        <is>
          <t>978-5-386-01698-2</t>
        </is>
      </c>
      <c r="S529" s="1" t="inlineStr">
        <is>
          <t>9785386016982</t>
        </is>
      </c>
      <c r="T529" s="9" t="n">
        <v>10</v>
      </c>
      <c r="U529" s="1">
        <f>ROUNDUP(631.09*(1-$F$3),2)</f>
        <v/>
      </c>
      <c r="V529" s="1" t="n">
        <v>100</v>
      </c>
      <c r="W529" s="1" t="inlineStr">
        <is>
          <t xml:space="preserve">096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529" s="1" t="inlineStr">
        <is>
          <t xml:space="preserve">Управление. Менеджмент. Теория управления                                                                                       </t>
        </is>
      </c>
      <c r="Y529" s="1" t="inlineStr">
        <is>
          <t>Остаться навсегда новичком или стать ведущим</t>
        </is>
      </c>
      <c r="AA529" s="12" t="n">
        <v>42247</v>
      </c>
      <c r="AB529" s="1" t="inlineStr">
        <is>
          <t>Экономика. Экономические науки</t>
        </is>
      </c>
      <c r="AC529" s="1" t="inlineStr">
        <is>
          <t>Труд. Экономика труда</t>
        </is>
      </c>
      <c r="AD529" s="1" t="inlineStr">
        <is>
          <t>Карьера</t>
        </is>
      </c>
      <c r="AE529" s="1" t="inlineStr">
        <is>
          <t> </t>
        </is>
      </c>
      <c r="AG529" s="1" t="n">
        <v>2587820</v>
      </c>
    </row>
    <row r="530" customFormat="1" s="1">
      <c r="C530" s="1" t="inlineStr">
        <is>
          <t xml:space="preserve">10556480            </t>
        </is>
      </c>
      <c r="D530" s="1" t="inlineStr">
        <is>
          <t>Гилберт new</t>
        </is>
      </c>
      <c r="E530" s="1" t="inlineStr">
        <is>
          <t>Большое волшебство. Гилберт Э.</t>
        </is>
      </c>
      <c r="F530" s="13" t="inlineStr">
        <is>
          <t>См.обл.</t>
        </is>
      </c>
      <c r="G530" s="1" t="inlineStr">
        <is>
          <t>Гилберт Э.</t>
        </is>
      </c>
      <c r="H530" s="1" t="inlineStr">
        <is>
          <t>76х108/32</t>
        </is>
      </c>
      <c r="I530" s="1" t="n">
        <v>320</v>
      </c>
      <c r="J530" s="1" t="inlineStr">
        <is>
          <t>РИПОЛ Классик</t>
        </is>
      </c>
      <c r="M530" s="1" t="inlineStr">
        <is>
          <t>2025</t>
        </is>
      </c>
      <c r="N530" s="1" t="inlineStr">
        <is>
          <t>О</t>
        </is>
      </c>
      <c r="O530" s="9" t="n">
        <v>5</v>
      </c>
      <c r="P530" s="1">
        <f>ROUNDUP(790*(1-$F$3),2)</f>
        <v/>
      </c>
      <c r="Q530" s="1" t="inlineStr">
        <is>
          <t> </t>
        </is>
      </c>
      <c r="R530" s="1" t="inlineStr">
        <is>
          <t>978-5-386-14909-3</t>
        </is>
      </c>
      <c r="S530" s="1" t="inlineStr">
        <is>
          <t>9785386149093</t>
        </is>
      </c>
      <c r="T530" s="9" t="n">
        <v>10</v>
      </c>
      <c r="U530" s="1">
        <f>ROUNDUP(718.18*(1-$F$3),2)</f>
        <v/>
      </c>
      <c r="V530" s="1" t="n">
        <v>219</v>
      </c>
      <c r="Y530" s="1" t="inlineStr">
        <is>
          <t>Большое волшебство</t>
        </is>
      </c>
      <c r="Z530" s="1" t="inlineStr">
        <is>
          <t>16+</t>
        </is>
      </c>
      <c r="AA530" s="12" t="n">
        <v>44766</v>
      </c>
      <c r="AB530" s="1" t="inlineStr">
        <is>
          <t>Гуманитарные науки</t>
        </is>
      </c>
      <c r="AC530" s="1" t="inlineStr">
        <is>
          <t>Психология</t>
        </is>
      </c>
      <c r="AD530" s="1" t="inlineStr">
        <is>
          <t>Популярная психология</t>
        </is>
      </c>
      <c r="AE530" s="1" t="inlineStr">
        <is>
          <t>офсетная</t>
        </is>
      </c>
      <c r="AG530" s="1" t="n">
        <v>10556480</v>
      </c>
      <c r="AI530" s="1" t="inlineStr">
        <is>
          <t>4901990000</t>
        </is>
      </c>
      <c r="AJ530" s="1" t="inlineStr">
        <is>
          <t>Зпв</t>
        </is>
      </c>
    </row>
    <row r="531" customFormat="1" s="1">
      <c r="C531" s="1" t="inlineStr">
        <is>
          <t xml:space="preserve">10225460            </t>
        </is>
      </c>
      <c r="D531" s="1" t="inlineStr">
        <is>
          <t>Гилберт new</t>
        </is>
      </c>
      <c r="E531" s="1" t="inlineStr">
        <is>
          <t>Город женщин: роман. Гилберт Э.</t>
        </is>
      </c>
      <c r="F531" s="13" t="inlineStr">
        <is>
          <t>См.обл.</t>
        </is>
      </c>
      <c r="G531" s="1" t="inlineStr">
        <is>
          <t>Гилберт Э.</t>
        </is>
      </c>
      <c r="H531" s="1" t="inlineStr">
        <is>
          <t>60х90/16</t>
        </is>
      </c>
      <c r="I531" s="1" t="n">
        <v>464</v>
      </c>
      <c r="J531" s="1" t="inlineStr">
        <is>
          <t>РИПОЛ Классик</t>
        </is>
      </c>
      <c r="M531" s="1" t="inlineStr">
        <is>
          <t>2025</t>
        </is>
      </c>
      <c r="N531" s="1" t="inlineStr">
        <is>
          <t>П</t>
        </is>
      </c>
      <c r="O531" s="9" t="n">
        <v>8</v>
      </c>
      <c r="P531" s="1">
        <f>ROUNDUP(1370*(1-$F$3),2)</f>
        <v/>
      </c>
      <c r="Q531" s="1" t="inlineStr">
        <is>
          <t> </t>
        </is>
      </c>
      <c r="R531" s="1" t="inlineStr">
        <is>
          <t>978-5-386-14630-6</t>
        </is>
      </c>
      <c r="S531" s="1" t="inlineStr">
        <is>
          <t>9785386146306</t>
        </is>
      </c>
      <c r="T531" s="9" t="n">
        <v>10</v>
      </c>
      <c r="U531" s="1">
        <f>ROUNDUP(1245.45*(1-$F$3),2)</f>
        <v/>
      </c>
      <c r="V531" s="1" t="n">
        <v>506</v>
      </c>
      <c r="Y531" s="1" t="inlineStr">
        <is>
          <t>Город женщин: роман</t>
        </is>
      </c>
      <c r="Z531" s="1" t="inlineStr">
        <is>
          <t>16+</t>
        </is>
      </c>
      <c r="AA531" s="12" t="n">
        <v>44558</v>
      </c>
      <c r="AB531" s="1" t="inlineStr">
        <is>
          <t>Художественная литература</t>
        </is>
      </c>
      <c r="AC531" s="1" t="inlineStr">
        <is>
          <t>Зарубежная литература</t>
        </is>
      </c>
      <c r="AD531" s="1" t="inlineStr">
        <is>
          <t>Литература Америки и Австралии</t>
        </is>
      </c>
      <c r="AE531" s="1" t="inlineStr">
        <is>
          <t>офсетная</t>
        </is>
      </c>
      <c r="AG531" s="1" t="n">
        <v>10225460</v>
      </c>
      <c r="AI531" s="1" t="inlineStr">
        <is>
          <t>4901990000</t>
        </is>
      </c>
    </row>
    <row r="532" customFormat="1" s="1">
      <c r="C532" s="1" t="inlineStr">
        <is>
          <t xml:space="preserve">10225450            </t>
        </is>
      </c>
      <c r="D532" s="1" t="inlineStr">
        <is>
          <t>Гилберт new</t>
        </is>
      </c>
      <c r="E532" s="1" t="inlineStr">
        <is>
          <t>Есть, молиться, любить 2. Законный брак. Гилберт Э.</t>
        </is>
      </c>
      <c r="F532" s="13" t="inlineStr">
        <is>
          <t>См.обл.</t>
        </is>
      </c>
      <c r="G532" s="1" t="inlineStr">
        <is>
          <t>Гилберт Э.</t>
        </is>
      </c>
      <c r="H532" s="1" t="inlineStr">
        <is>
          <t>60х90/16</t>
        </is>
      </c>
      <c r="I532" s="1" t="n">
        <v>384</v>
      </c>
      <c r="J532" s="1" t="inlineStr">
        <is>
          <t>РИПОЛ Классик</t>
        </is>
      </c>
      <c r="M532" s="1" t="inlineStr">
        <is>
          <t>2026</t>
        </is>
      </c>
      <c r="N532" s="1" t="inlineStr">
        <is>
          <t>П</t>
        </is>
      </c>
      <c r="O532" s="9" t="n">
        <v>4</v>
      </c>
      <c r="P532" s="1">
        <f>ROUNDUP(1390*(1-$F$3),2)</f>
        <v/>
      </c>
      <c r="Q532" s="1" t="inlineStr">
        <is>
          <t> </t>
        </is>
      </c>
      <c r="R532" s="1" t="inlineStr">
        <is>
          <t>978-5-386-14628-3</t>
        </is>
      </c>
      <c r="S532" s="1" t="inlineStr">
        <is>
          <t>9785386146283</t>
        </is>
      </c>
      <c r="T532" s="9" t="n">
        <v>10</v>
      </c>
      <c r="U532" s="1">
        <f>ROUNDUP(1263.64*(1-$F$3),2)</f>
        <v/>
      </c>
      <c r="V532" s="1" t="n">
        <v>574</v>
      </c>
      <c r="Y532" s="1" t="inlineStr">
        <is>
          <t>Есть, молиться, любить 2. Законный брак</t>
        </is>
      </c>
      <c r="Z532" s="1" t="inlineStr">
        <is>
          <t>16+</t>
        </is>
      </c>
      <c r="AA532" s="12" t="n">
        <v>44558</v>
      </c>
      <c r="AB532" s="1" t="inlineStr">
        <is>
          <t>Художественная литература</t>
        </is>
      </c>
      <c r="AC532" s="1" t="inlineStr">
        <is>
          <t>Зарубежная литература</t>
        </is>
      </c>
      <c r="AD532" s="1" t="inlineStr">
        <is>
          <t>Литература Америки и Австралии</t>
        </is>
      </c>
      <c r="AE532" s="1" t="inlineStr">
        <is>
          <t>офсетная</t>
        </is>
      </c>
      <c r="AG532" s="1" t="n">
        <v>10225450</v>
      </c>
      <c r="AI532" s="1" t="inlineStr">
        <is>
          <t>4901990000</t>
        </is>
      </c>
      <c r="AJ532" s="1" t="inlineStr">
        <is>
          <t>Зпв</t>
        </is>
      </c>
    </row>
    <row r="533" customFormat="1" s="1">
      <c r="C533" s="1" t="inlineStr">
        <is>
          <t xml:space="preserve">10384460            </t>
        </is>
      </c>
      <c r="D533" s="1" t="inlineStr">
        <is>
          <t>Гилберт new</t>
        </is>
      </c>
      <c r="E533" s="1" t="inlineStr">
        <is>
          <t>Есть, молиться, любить. Гилберт Э.</t>
        </is>
      </c>
      <c r="F533" s="13" t="inlineStr">
        <is>
          <t>См.обл.</t>
        </is>
      </c>
      <c r="G533" s="1" t="inlineStr">
        <is>
          <t>Гилберт Э.</t>
        </is>
      </c>
      <c r="H533" s="1" t="inlineStr">
        <is>
          <t>60х90/16</t>
        </is>
      </c>
      <c r="I533" s="1" t="n">
        <v>498</v>
      </c>
      <c r="J533" s="1" t="inlineStr">
        <is>
          <t>РИПОЛ Классик</t>
        </is>
      </c>
      <c r="K533" s="1" t="inlineStr">
        <is>
          <t>RUGRAM_РИПОЛ Классик</t>
        </is>
      </c>
      <c r="M533" s="1" t="inlineStr">
        <is>
          <t>2026</t>
        </is>
      </c>
      <c r="N533" s="1" t="inlineStr">
        <is>
          <t>П</t>
        </is>
      </c>
      <c r="O533" s="9" t="n">
        <v>8</v>
      </c>
      <c r="P533" s="1">
        <f>ROUNDUP(1560*(1-$F$3),2)</f>
        <v/>
      </c>
      <c r="Q533" s="1" t="inlineStr">
        <is>
          <t> </t>
        </is>
      </c>
      <c r="R533" s="1" t="inlineStr">
        <is>
          <t>978-5-386-14722-8</t>
        </is>
      </c>
      <c r="S533" s="1" t="inlineStr">
        <is>
          <t>9785386147228</t>
        </is>
      </c>
      <c r="T533" s="9" t="n">
        <v>10</v>
      </c>
      <c r="U533" s="1">
        <f>ROUNDUP(1418.18*(1-$F$3),2)</f>
        <v/>
      </c>
      <c r="V533" s="1" t="n">
        <v>585</v>
      </c>
      <c r="Y533" s="1" t="inlineStr">
        <is>
          <t>Есть, молиться, любить</t>
        </is>
      </c>
      <c r="Z533" s="1" t="inlineStr">
        <is>
          <t>16+</t>
        </is>
      </c>
      <c r="AA533" s="12" t="n">
        <v>44637</v>
      </c>
      <c r="AB533" s="1" t="inlineStr">
        <is>
          <t>Художественная литература</t>
        </is>
      </c>
      <c r="AC533" s="1" t="inlineStr">
        <is>
          <t>Зарубежная литература</t>
        </is>
      </c>
      <c r="AD533" s="1" t="inlineStr">
        <is>
          <t>Литература Америки и Австралии</t>
        </is>
      </c>
      <c r="AE533" s="1" t="inlineStr">
        <is>
          <t>офсетная</t>
        </is>
      </c>
      <c r="AG533" s="1" t="n">
        <v>10384460</v>
      </c>
      <c r="AI533" s="1" t="inlineStr">
        <is>
          <t>4901990000</t>
        </is>
      </c>
      <c r="AJ533" s="1" t="inlineStr">
        <is>
          <t>Зпв</t>
        </is>
      </c>
    </row>
    <row r="534" customFormat="1" s="1">
      <c r="C534" s="1" t="inlineStr">
        <is>
          <t xml:space="preserve">10384390            </t>
        </is>
      </c>
      <c r="D534" s="1" t="inlineStr">
        <is>
          <t>Гилберт new</t>
        </is>
      </c>
      <c r="E534" s="1" t="inlineStr">
        <is>
          <t>Самая лучшая жена: сборник рассказов. Гилберт Э.</t>
        </is>
      </c>
      <c r="F534" s="13" t="inlineStr">
        <is>
          <t>См.обл.</t>
        </is>
      </c>
      <c r="G534" s="1" t="inlineStr">
        <is>
          <t>Гилберт Э.</t>
        </is>
      </c>
      <c r="H534" s="1" t="inlineStr">
        <is>
          <t>60х90/16</t>
        </is>
      </c>
      <c r="I534" s="1" t="n">
        <v>288</v>
      </c>
      <c r="J534" s="1" t="inlineStr">
        <is>
          <t>РИПОЛ Классик</t>
        </is>
      </c>
      <c r="K534" s="1" t="inlineStr">
        <is>
          <t>RUGRAM_РИПОЛ Классик</t>
        </is>
      </c>
      <c r="M534" s="1" t="inlineStr">
        <is>
          <t>2022</t>
        </is>
      </c>
      <c r="N534" s="1" t="inlineStr">
        <is>
          <t>П</t>
        </is>
      </c>
      <c r="O534" s="9" t="n">
        <v>12</v>
      </c>
      <c r="P534" s="1">
        <f>ROUNDUP(960*(1-$F$3),2)</f>
        <v/>
      </c>
      <c r="Q534" s="1" t="inlineStr">
        <is>
          <t> </t>
        </is>
      </c>
      <c r="R534" s="1" t="inlineStr">
        <is>
          <t>978-5-386-14723-5</t>
        </is>
      </c>
      <c r="S534" s="1" t="inlineStr">
        <is>
          <t>9785386147235</t>
        </is>
      </c>
      <c r="T534" s="9" t="n">
        <v>10</v>
      </c>
      <c r="U534" s="1">
        <f>ROUNDUP(872.73*(1-$F$3),2)</f>
        <v/>
      </c>
      <c r="V534" s="1" t="n">
        <v>366</v>
      </c>
      <c r="Y534" s="1" t="inlineStr">
        <is>
          <t>Самая лучшая жена: сборник рассказов</t>
        </is>
      </c>
      <c r="Z534" s="1" t="inlineStr">
        <is>
          <t>16+</t>
        </is>
      </c>
      <c r="AA534" s="12" t="n">
        <v>44637</v>
      </c>
      <c r="AB534" s="1" t="inlineStr">
        <is>
          <t>Художественная литература</t>
        </is>
      </c>
      <c r="AC534" s="1" t="inlineStr">
        <is>
          <t>Зарубежная литература</t>
        </is>
      </c>
      <c r="AD534" s="1" t="inlineStr">
        <is>
          <t>Литература Америки и Австралии</t>
        </is>
      </c>
      <c r="AE534" s="1" t="inlineStr">
        <is>
          <t>офсетная</t>
        </is>
      </c>
      <c r="AG534" s="1" t="n">
        <v>10384390</v>
      </c>
      <c r="AI534" s="1" t="inlineStr">
        <is>
          <t>4901990000</t>
        </is>
      </c>
    </row>
    <row r="535" customFormat="1" s="1">
      <c r="C535" s="1" t="inlineStr">
        <is>
          <t xml:space="preserve">10394800            </t>
        </is>
      </c>
      <c r="D535" s="1" t="inlineStr">
        <is>
          <t>Гилберт лучшее</t>
        </is>
      </c>
      <c r="E535" s="1" t="inlineStr">
        <is>
          <t>Город женщин: роман. Гилберт Э.</t>
        </is>
      </c>
      <c r="F535" s="13" t="inlineStr">
        <is>
          <t>См.обл.</t>
        </is>
      </c>
      <c r="G535" s="1" t="inlineStr">
        <is>
          <t>Гилберт Э.</t>
        </is>
      </c>
      <c r="H535" s="1" t="inlineStr">
        <is>
          <t>60х90/16</t>
        </is>
      </c>
      <c r="I535" s="1" t="n">
        <v>512</v>
      </c>
      <c r="J535" s="1" t="inlineStr">
        <is>
          <t>РИПОЛ Классик</t>
        </is>
      </c>
      <c r="M535" s="1" t="inlineStr">
        <is>
          <t>2025</t>
        </is>
      </c>
      <c r="N535" s="1" t="inlineStr">
        <is>
          <t>О</t>
        </is>
      </c>
      <c r="O535" s="9" t="n">
        <v>12</v>
      </c>
      <c r="P535" s="1">
        <f>ROUNDUP(1040*(1-$F$3),2)</f>
        <v/>
      </c>
      <c r="Q535" s="1" t="inlineStr">
        <is>
          <t> </t>
        </is>
      </c>
      <c r="R535" s="1" t="inlineStr">
        <is>
          <t>978-5-386-14659-7</t>
        </is>
      </c>
      <c r="S535" s="1" t="inlineStr">
        <is>
          <t>9785386146597</t>
        </is>
      </c>
      <c r="T535" s="9" t="n">
        <v>10</v>
      </c>
      <c r="U535" s="1">
        <f>ROUNDUP(945.45*(1-$F$3),2)</f>
        <v/>
      </c>
      <c r="V535" s="1" t="n">
        <v>476</v>
      </c>
      <c r="Y535" s="1" t="inlineStr">
        <is>
          <t>Город женщин: роман</t>
        </is>
      </c>
      <c r="Z535" s="1" t="inlineStr">
        <is>
          <t>18+</t>
        </is>
      </c>
      <c r="AA535" s="12" t="n">
        <v>44686</v>
      </c>
      <c r="AB535" s="1" t="inlineStr">
        <is>
          <t>Художественная литература</t>
        </is>
      </c>
      <c r="AC535" s="1" t="inlineStr">
        <is>
          <t>Зарубежная литература</t>
        </is>
      </c>
      <c r="AD535" s="1" t="inlineStr">
        <is>
          <t>Литература Америки и Австралии</t>
        </is>
      </c>
      <c r="AE535" s="1" t="inlineStr">
        <is>
          <t>газетная</t>
        </is>
      </c>
      <c r="AG535" s="1" t="n">
        <v>10394800</v>
      </c>
      <c r="AI535" s="1" t="inlineStr">
        <is>
          <t>4901990000</t>
        </is>
      </c>
    </row>
    <row r="536" customFormat="1" s="1">
      <c r="C536" s="1" t="inlineStr">
        <is>
          <t xml:space="preserve">10406720            </t>
        </is>
      </c>
      <c r="D536" s="1" t="inlineStr">
        <is>
          <t>Гилберт лучшее</t>
        </is>
      </c>
      <c r="E536" s="1" t="inlineStr">
        <is>
          <t>Есть, молиться, любить: роман. Гилберт Э.</t>
        </is>
      </c>
      <c r="F536" s="13" t="inlineStr">
        <is>
          <t>См.обл.</t>
        </is>
      </c>
      <c r="G536" s="1" t="inlineStr">
        <is>
          <t>Гилберт Э.</t>
        </is>
      </c>
      <c r="H536" s="1" t="inlineStr">
        <is>
          <t>60х90/16</t>
        </is>
      </c>
      <c r="I536" s="1" t="n">
        <v>498</v>
      </c>
      <c r="J536" s="1" t="inlineStr">
        <is>
          <t>РИПОЛ Классик</t>
        </is>
      </c>
      <c r="M536" s="1" t="inlineStr">
        <is>
          <t>2026</t>
        </is>
      </c>
      <c r="N536" s="1" t="inlineStr">
        <is>
          <t>О</t>
        </is>
      </c>
      <c r="O536" s="9" t="n">
        <v>6</v>
      </c>
      <c r="P536" s="1">
        <f>ROUNDUP(850*(1-$F$3),2)</f>
        <v/>
      </c>
      <c r="Q536" s="1" t="inlineStr">
        <is>
          <t> </t>
        </is>
      </c>
      <c r="R536" s="1" t="inlineStr">
        <is>
          <t>978-5-386-14658-0</t>
        </is>
      </c>
      <c r="S536" s="1" t="inlineStr">
        <is>
          <t>9785386146580</t>
        </is>
      </c>
      <c r="T536" s="9" t="n">
        <v>10</v>
      </c>
      <c r="U536" s="1">
        <f>ROUNDUP(772.73*(1-$F$3),2)</f>
        <v/>
      </c>
      <c r="V536" s="1" t="n">
        <v>451</v>
      </c>
      <c r="Y536" s="1" t="inlineStr">
        <is>
          <t>Есть, молиться, любить: роман</t>
        </is>
      </c>
      <c r="Z536" s="1" t="inlineStr">
        <is>
          <t>16+</t>
        </is>
      </c>
      <c r="AA536" s="12" t="n">
        <v>44698</v>
      </c>
      <c r="AB536" s="1" t="inlineStr">
        <is>
          <t>Художественная литература</t>
        </is>
      </c>
      <c r="AC536" s="1" t="inlineStr">
        <is>
          <t>Зарубежная литература</t>
        </is>
      </c>
      <c r="AD536" s="1" t="inlineStr">
        <is>
          <t>Литература Америки и Австралии</t>
        </is>
      </c>
      <c r="AE536" s="1" t="inlineStr">
        <is>
          <t>офсетная</t>
        </is>
      </c>
      <c r="AG536" s="1" t="n">
        <v>10406720</v>
      </c>
      <c r="AI536" s="1" t="inlineStr">
        <is>
          <t>4901990000</t>
        </is>
      </c>
      <c r="AJ536" s="1" t="inlineStr">
        <is>
          <t>Зпв</t>
        </is>
      </c>
    </row>
    <row r="537" customFormat="1" s="1">
      <c r="C537" s="1" t="inlineStr">
        <is>
          <t xml:space="preserve">11947210            </t>
        </is>
      </c>
      <c r="D537" s="1" t="inlineStr">
        <is>
          <t>Главный герой</t>
        </is>
      </c>
      <c r="E537" s="1" t="inlineStr">
        <is>
          <t>Игра на вылет. Малинина М.</t>
        </is>
      </c>
      <c r="F537" s="13" t="inlineStr">
        <is>
          <t>См.обл.</t>
        </is>
      </c>
      <c r="G537" s="1" t="inlineStr">
        <is>
          <t>Малинина М.</t>
        </is>
      </c>
      <c r="H537" s="1" t="inlineStr">
        <is>
          <t>60х90/16</t>
        </is>
      </c>
      <c r="I537" s="1" t="n">
        <v>288</v>
      </c>
      <c r="J537" s="1" t="inlineStr">
        <is>
          <t>РИПОЛ Классик</t>
        </is>
      </c>
      <c r="M537" s="1" t="inlineStr">
        <is>
          <t>2026</t>
        </is>
      </c>
      <c r="N537" s="1" t="inlineStr">
        <is>
          <t>П</t>
        </is>
      </c>
      <c r="O537" s="9" t="n">
        <v>10</v>
      </c>
      <c r="P537" s="1">
        <f>ROUNDUP(1110*(1-$F$3),2)</f>
        <v/>
      </c>
      <c r="Q537" s="1" t="inlineStr">
        <is>
          <t> </t>
        </is>
      </c>
      <c r="R537" s="1" t="inlineStr">
        <is>
          <t>978-5-386-15532-2</t>
        </is>
      </c>
      <c r="S537" s="1" t="inlineStr">
        <is>
          <t>9785386155322</t>
        </is>
      </c>
      <c r="T537" s="9" t="n">
        <v>10</v>
      </c>
      <c r="U537" s="1">
        <f>ROUNDUP(1009.09*(1-$F$3),2)</f>
        <v/>
      </c>
      <c r="V537" s="1" t="n">
        <v>444</v>
      </c>
      <c r="Y537" s="1" t="inlineStr">
        <is>
          <t>Игра на вылет</t>
        </is>
      </c>
      <c r="Z537" s="1" t="inlineStr">
        <is>
          <t>16+</t>
        </is>
      </c>
      <c r="AA537" s="12" t="n">
        <v>45987</v>
      </c>
      <c r="AB537" s="1" t="inlineStr">
        <is>
          <t>Художественная литература</t>
        </is>
      </c>
      <c r="AC537" s="1" t="inlineStr">
        <is>
          <t>Детективы. Боевики. Триллеры</t>
        </is>
      </c>
      <c r="AD537" s="1" t="inlineStr">
        <is>
          <t>Русский детектив</t>
        </is>
      </c>
      <c r="AE537" s="1" t="inlineStr">
        <is>
          <t>офсетная</t>
        </is>
      </c>
      <c r="AG537" s="1" t="n">
        <v>11947210</v>
      </c>
      <c r="AI537" s="1" t="inlineStr">
        <is>
          <t>4901990000</t>
        </is>
      </c>
    </row>
    <row r="538" customFormat="1" s="11">
      <c r="A538" s="11" t="inlineStr">
        <is>
          <t>нов</t>
        </is>
      </c>
      <c r="C538" s="11" t="inlineStr">
        <is>
          <t xml:space="preserve">12256960            </t>
        </is>
      </c>
      <c r="D538" s="11" t="inlineStr">
        <is>
          <t>Главный герой</t>
        </is>
      </c>
      <c r="E538" s="11" t="inlineStr">
        <is>
          <t>Противоестественный отбор. Луговский В.</t>
        </is>
      </c>
      <c r="F538" s="14" t="inlineStr">
        <is>
          <t>См.обл.</t>
        </is>
      </c>
      <c r="G538" s="11" t="inlineStr">
        <is>
          <t>Луговский В.</t>
        </is>
      </c>
      <c r="H538" s="11" t="inlineStr">
        <is>
          <t>60х90/16</t>
        </is>
      </c>
      <c r="I538" s="11" t="n">
        <v>304</v>
      </c>
      <c r="J538" s="11" t="inlineStr">
        <is>
          <t>РИПОЛ Классик</t>
        </is>
      </c>
      <c r="M538" s="11" t="inlineStr">
        <is>
          <t>2026</t>
        </is>
      </c>
      <c r="N538" s="11" t="inlineStr">
        <is>
          <t>П</t>
        </is>
      </c>
      <c r="O538" s="26" t="n">
        <v>12</v>
      </c>
      <c r="P538" s="11">
        <f>ROUNDUP(950*(1-$F$3),2)</f>
        <v/>
      </c>
      <c r="Q538" s="11" t="inlineStr">
        <is>
          <t> </t>
        </is>
      </c>
      <c r="R538" s="11" t="inlineStr">
        <is>
          <t>978-5-386-15568-1</t>
        </is>
      </c>
      <c r="S538" s="11" t="inlineStr">
        <is>
          <t>9785386155681</t>
        </is>
      </c>
      <c r="T538" s="26" t="n">
        <v>22</v>
      </c>
      <c r="U538" s="11">
        <f>ROUNDUP(778.69*(1-$F$3),2)</f>
        <v/>
      </c>
      <c r="V538" s="11" t="n">
        <v>402</v>
      </c>
      <c r="Y538" s="11" t="inlineStr">
        <is>
          <t>Противоестественный отбор</t>
        </is>
      </c>
      <c r="Z538" s="11" t="inlineStr">
        <is>
          <t>18+</t>
        </is>
      </c>
      <c r="AA538" s="15" t="n">
        <v>46268</v>
      </c>
      <c r="AB538" s="11" t="inlineStr">
        <is>
          <t>Художественная литература</t>
        </is>
      </c>
      <c r="AC538" s="11" t="inlineStr">
        <is>
          <t>Детективы. Боевики. Триллеры</t>
        </is>
      </c>
      <c r="AD538" s="11" t="inlineStr">
        <is>
          <t>Триллеры</t>
        </is>
      </c>
      <c r="AE538" s="11" t="inlineStr">
        <is>
          <t>офсетная</t>
        </is>
      </c>
      <c r="AG538" s="11" t="n">
        <v>12256960</v>
      </c>
      <c r="AI538" s="11" t="inlineStr">
        <is>
          <t>4901990000</t>
        </is>
      </c>
      <c r="AJ538" s="11" t="inlineStr">
        <is>
          <t>Зпв</t>
        </is>
      </c>
    </row>
    <row r="539" customFormat="1" s="1">
      <c r="C539" s="1" t="inlineStr">
        <is>
          <t xml:space="preserve">8573970             </t>
        </is>
      </c>
      <c r="D539" s="1" t="inlineStr">
        <is>
          <t>Глазами иностранцев</t>
        </is>
      </c>
      <c r="E539" s="1" t="inlineStr">
        <is>
          <t>О чем думают индусы? 1336 фактов. От Ганди до карри. Сингх С.</t>
        </is>
      </c>
      <c r="F539" s="13" t="inlineStr">
        <is>
          <t>См.обл.</t>
        </is>
      </c>
      <c r="G539" s="1" t="inlineStr">
        <is>
          <t>Сингх С.</t>
        </is>
      </c>
      <c r="H539" s="1" t="inlineStr">
        <is>
          <t>60х90/16</t>
        </is>
      </c>
      <c r="I539" s="1" t="n">
        <v>240</v>
      </c>
      <c r="J539" s="1" t="inlineStr">
        <is>
          <t>РИПОЛ Классик</t>
        </is>
      </c>
      <c r="M539" s="1" t="inlineStr">
        <is>
          <t>2021</t>
        </is>
      </c>
      <c r="N539" s="1" t="inlineStr">
        <is>
          <t>П</t>
        </is>
      </c>
      <c r="O539" s="9" t="n">
        <v>12</v>
      </c>
      <c r="P539" s="1">
        <f>ROUNDUP(980*(1-$F$3),2)</f>
        <v/>
      </c>
      <c r="Q539" s="1" t="inlineStr">
        <is>
          <t> </t>
        </is>
      </c>
      <c r="R539" s="1" t="inlineStr">
        <is>
          <t>978-5-386-10649-2</t>
        </is>
      </c>
      <c r="S539" s="1" t="inlineStr">
        <is>
          <t>9785386106492</t>
        </is>
      </c>
      <c r="T539" s="9" t="n">
        <v>10</v>
      </c>
      <c r="U539" s="1">
        <f>ROUNDUP(890.91*(1-$F$3),2)</f>
        <v/>
      </c>
      <c r="V539" s="1" t="n">
        <v>358</v>
      </c>
      <c r="Y539" s="1" t="inlineStr">
        <is>
          <t>О чем думают индусы? 1336 фактов. От Ганди до карри</t>
        </is>
      </c>
      <c r="Z539" s="1" t="inlineStr">
        <is>
          <t>12+</t>
        </is>
      </c>
      <c r="AA539" s="12" t="n">
        <v>43199</v>
      </c>
      <c r="AB539" s="1" t="inlineStr">
        <is>
          <t>Художественно-документальная проза</t>
        </is>
      </c>
      <c r="AC539" s="1" t="inlineStr">
        <is>
          <t>Публицистика</t>
        </is>
      </c>
      <c r="AD539" s="1" t="inlineStr">
        <is>
          <t>Рассказы путешественников и натуралистов</t>
        </is>
      </c>
      <c r="AE539" s="1" t="inlineStr">
        <is>
          <t>офсетная</t>
        </is>
      </c>
      <c r="AG539" s="1" t="n">
        <v>8573970</v>
      </c>
      <c r="AI539" s="1" t="inlineStr">
        <is>
          <t>4901990000</t>
        </is>
      </c>
    </row>
    <row r="540" customFormat="1" s="1">
      <c r="C540" s="1" t="inlineStr">
        <is>
          <t xml:space="preserve">8450030             </t>
        </is>
      </c>
      <c r="D540" s="1" t="inlineStr">
        <is>
          <t>Глазами иностранцев</t>
        </is>
      </c>
      <c r="E540" s="1" t="inlineStr">
        <is>
          <t>О чем думают непальцы? 1768 фактов. От Катманду до дал-бата. Мартынова А.В</t>
        </is>
      </c>
      <c r="F540" s="13" t="inlineStr">
        <is>
          <t>См.обл.</t>
        </is>
      </c>
      <c r="G540" s="1" t="inlineStr">
        <is>
          <t>Мартынова А.В.</t>
        </is>
      </c>
      <c r="H540" s="1" t="inlineStr">
        <is>
          <t>60х90/16</t>
        </is>
      </c>
      <c r="I540" s="1" t="n">
        <v>304</v>
      </c>
      <c r="J540" s="1" t="inlineStr">
        <is>
          <t>РИПОЛ Классик</t>
        </is>
      </c>
      <c r="M540" s="1" t="inlineStr">
        <is>
          <t>2018</t>
        </is>
      </c>
      <c r="N540" s="1" t="inlineStr">
        <is>
          <t>П</t>
        </is>
      </c>
      <c r="O540" s="9" t="n">
        <v>14</v>
      </c>
      <c r="P540" s="1">
        <f>ROUNDUP(956.8*(1-$F$3),2)</f>
        <v/>
      </c>
      <c r="Q540" s="1" t="inlineStr">
        <is>
          <t> </t>
        </is>
      </c>
      <c r="R540" s="1" t="inlineStr">
        <is>
          <t>978-5-386-10429-0</t>
        </is>
      </c>
      <c r="S540" s="1" t="inlineStr">
        <is>
          <t>9785386104290</t>
        </is>
      </c>
      <c r="T540" s="9" t="n">
        <v>10</v>
      </c>
      <c r="U540" s="1">
        <f>ROUNDUP(869.82*(1-$F$3),2)</f>
        <v/>
      </c>
      <c r="V540" s="1" t="n">
        <v>433</v>
      </c>
      <c r="Y540" s="1" t="inlineStr">
        <is>
          <t>О чем думают непальцы? 1768 фактов. От Катманду до дал-бата</t>
        </is>
      </c>
      <c r="Z540" s="1" t="inlineStr">
        <is>
          <t>16+</t>
        </is>
      </c>
      <c r="AA540" s="12" t="n">
        <v>43112</v>
      </c>
      <c r="AB540" s="1" t="inlineStr">
        <is>
          <t>Художественно-документальная проза</t>
        </is>
      </c>
      <c r="AC540" s="1" t="inlineStr">
        <is>
          <t>Публицистика</t>
        </is>
      </c>
      <c r="AD540" s="1" t="inlineStr">
        <is>
          <t>Рассказы путешественников и натуралистов</t>
        </is>
      </c>
      <c r="AE540" s="1" t="inlineStr">
        <is>
          <t>офсетная</t>
        </is>
      </c>
      <c r="AG540" s="1" t="n">
        <v>8450030</v>
      </c>
      <c r="AI540" s="1" t="inlineStr">
        <is>
          <t>4901990000</t>
        </is>
      </c>
    </row>
    <row r="541" customFormat="1" s="1">
      <c r="C541" s="1" t="inlineStr">
        <is>
          <t xml:space="preserve">7943120             </t>
        </is>
      </c>
      <c r="D541" s="1" t="inlineStr">
        <is>
          <t>Глазами иностранцев</t>
        </is>
      </c>
      <c r="E541" s="1" t="inlineStr">
        <is>
          <t>О чем думают тайваньцы? 1156 фактов от золотых запасов до кинематографа. Баскина А.</t>
        </is>
      </c>
      <c r="F541" s="13" t="inlineStr">
        <is>
          <t>См.обл.</t>
        </is>
      </c>
      <c r="G541" s="1" t="inlineStr">
        <is>
          <t>Баскина А.</t>
        </is>
      </c>
      <c r="H541" s="1" t="inlineStr">
        <is>
          <t>60х90/16</t>
        </is>
      </c>
      <c r="I541" s="1" t="n">
        <v>320</v>
      </c>
      <c r="J541" s="1" t="inlineStr">
        <is>
          <t>РИПОЛ Классик</t>
        </is>
      </c>
      <c r="M541" s="1" t="inlineStr">
        <is>
          <t>2016</t>
        </is>
      </c>
      <c r="N541" s="1" t="inlineStr">
        <is>
          <t>П</t>
        </is>
      </c>
      <c r="O541" s="9" t="n">
        <v>14</v>
      </c>
      <c r="P541" s="1">
        <f>ROUNDUP(956.8*(1-$F$3),2)</f>
        <v/>
      </c>
      <c r="Q541" s="1" t="inlineStr">
        <is>
          <t> </t>
        </is>
      </c>
      <c r="R541" s="1" t="inlineStr">
        <is>
          <t>978-5-386-09615-1</t>
        </is>
      </c>
      <c r="S541" s="1" t="inlineStr">
        <is>
          <t>9785386096151</t>
        </is>
      </c>
      <c r="T541" s="9" t="n">
        <v>10</v>
      </c>
      <c r="U541" s="1">
        <f>ROUNDUP(869.82*(1-$F$3),2)</f>
        <v/>
      </c>
      <c r="V541" s="1" t="n">
        <v>441</v>
      </c>
      <c r="Y541" s="1" t="inlineStr">
        <is>
          <t>О чем думают тайваньцы? 1156 фактов от золотых запасов до кинематографа</t>
        </is>
      </c>
      <c r="Z541" s="1" t="inlineStr">
        <is>
          <t>12+</t>
        </is>
      </c>
      <c r="AA541" s="12" t="n">
        <v>42717</v>
      </c>
      <c r="AB541" s="1" t="inlineStr">
        <is>
          <t>Художественно-документальная проза</t>
        </is>
      </c>
      <c r="AC541" s="1" t="inlineStr">
        <is>
          <t>Публицистика</t>
        </is>
      </c>
      <c r="AD541" s="1" t="inlineStr">
        <is>
          <t>Рассказы путешественников и натуралистов</t>
        </is>
      </c>
      <c r="AE541" s="1" t="inlineStr">
        <is>
          <t> </t>
        </is>
      </c>
      <c r="AG541" s="1" t="n">
        <v>7943120</v>
      </c>
      <c r="AI541" s="1" t="inlineStr">
        <is>
          <t>4901990000</t>
        </is>
      </c>
    </row>
    <row r="542" customFormat="1" s="1">
      <c r="C542" s="1" t="inlineStr">
        <is>
          <t xml:space="preserve">8406050             </t>
        </is>
      </c>
      <c r="D542" s="1" t="inlineStr">
        <is>
          <t>Глазами иностранцев</t>
        </is>
      </c>
      <c r="E542" s="1" t="inlineStr">
        <is>
          <t>О чем думают чехи? 1218 фактов от кнедликов до Альфонса Мухи. Перепелица В.Б.</t>
        </is>
      </c>
      <c r="F542" s="13" t="inlineStr">
        <is>
          <t>См.обл.</t>
        </is>
      </c>
      <c r="G542" s="1" t="inlineStr">
        <is>
          <t>Перепелица В.Б.</t>
        </is>
      </c>
      <c r="H542" s="1" t="inlineStr">
        <is>
          <t>60х90/16</t>
        </is>
      </c>
      <c r="I542" s="1" t="n">
        <v>320</v>
      </c>
      <c r="J542" s="1" t="inlineStr">
        <is>
          <t>РИПОЛ Классик</t>
        </is>
      </c>
      <c r="M542" s="1" t="inlineStr">
        <is>
          <t>2020</t>
        </is>
      </c>
      <c r="N542" s="1" t="inlineStr">
        <is>
          <t>П</t>
        </is>
      </c>
      <c r="O542" s="9" t="n">
        <v>14</v>
      </c>
      <c r="P542" s="1">
        <f>ROUNDUP(1055.5*(1-$F$3),2)</f>
        <v/>
      </c>
      <c r="Q542" s="1" t="inlineStr">
        <is>
          <t> </t>
        </is>
      </c>
      <c r="R542" s="1" t="inlineStr">
        <is>
          <t>978-5-386-10047-6</t>
        </is>
      </c>
      <c r="S542" s="1" t="inlineStr">
        <is>
          <t>9785386100476</t>
        </is>
      </c>
      <c r="T542" s="9" t="n">
        <v>10</v>
      </c>
      <c r="U542" s="1">
        <f>ROUNDUP(959.55*(1-$F$3),2)</f>
        <v/>
      </c>
      <c r="V542" s="1" t="n">
        <v>443</v>
      </c>
      <c r="Y542" s="1" t="inlineStr">
        <is>
          <t>О чем думают чехи? 1218 фактов от кнедликов до Альфонса Мухи</t>
        </is>
      </c>
      <c r="Z542" s="1" t="inlineStr">
        <is>
          <t>12+</t>
        </is>
      </c>
      <c r="AA542" s="12" t="n">
        <v>43075</v>
      </c>
      <c r="AB542" s="1" t="inlineStr">
        <is>
          <t>Художественно-документальная проза</t>
        </is>
      </c>
      <c r="AC542" s="1" t="inlineStr">
        <is>
          <t>Публицистика</t>
        </is>
      </c>
      <c r="AD542" s="1" t="inlineStr">
        <is>
          <t>Рассказы путешественников и натуралистов</t>
        </is>
      </c>
      <c r="AE542" s="1" t="inlineStr">
        <is>
          <t>офсетная</t>
        </is>
      </c>
      <c r="AG542" s="1" t="n">
        <v>8406050</v>
      </c>
      <c r="AI542" s="1" t="inlineStr">
        <is>
          <t>4901990000</t>
        </is>
      </c>
    </row>
    <row r="543" customFormat="1" s="1">
      <c r="C543" s="1" t="inlineStr">
        <is>
          <t xml:space="preserve">9501490             </t>
        </is>
      </c>
      <c r="D543" s="1" t="inlineStr">
        <is>
          <t>Город женщин</t>
        </is>
      </c>
      <c r="E543" s="1" t="inlineStr">
        <is>
          <t>Есть, молиться, любить. Гилберт Э.</t>
        </is>
      </c>
      <c r="F543" s="13" t="inlineStr">
        <is>
          <t>См.обл.</t>
        </is>
      </c>
      <c r="G543" s="1" t="inlineStr">
        <is>
          <t>Гилберт Э.</t>
        </is>
      </c>
      <c r="H543" s="1" t="inlineStr">
        <is>
          <t>60х90/16</t>
        </is>
      </c>
      <c r="I543" s="1" t="n">
        <v>496</v>
      </c>
      <c r="J543" s="1" t="inlineStr">
        <is>
          <t>РИПОЛ Классик</t>
        </is>
      </c>
      <c r="M543" s="1" t="inlineStr">
        <is>
          <t>2025</t>
        </is>
      </c>
      <c r="N543" s="1" t="inlineStr">
        <is>
          <t>П</t>
        </is>
      </c>
      <c r="O543" s="9" t="n">
        <v>3</v>
      </c>
      <c r="P543" s="1">
        <f>ROUNDUP(1560*(1-$F$3),2)</f>
        <v/>
      </c>
      <c r="Q543" s="1" t="inlineStr">
        <is>
          <t> </t>
        </is>
      </c>
      <c r="R543" s="1" t="inlineStr">
        <is>
          <t>978-5-386-13778-6</t>
        </is>
      </c>
      <c r="S543" s="1" t="inlineStr">
        <is>
          <t>9785386137786</t>
        </is>
      </c>
      <c r="T543" s="9" t="n">
        <v>10</v>
      </c>
      <c r="U543" s="1">
        <f>ROUNDUP(1418.18*(1-$F$3),2)</f>
        <v/>
      </c>
      <c r="V543" s="1" t="n">
        <v>514</v>
      </c>
      <c r="Y543" s="1" t="inlineStr">
        <is>
          <t>Есть, молиться, любить</t>
        </is>
      </c>
      <c r="Z543" s="1" t="inlineStr">
        <is>
          <t>16+</t>
        </is>
      </c>
      <c r="AA543" s="12" t="n">
        <v>44102</v>
      </c>
      <c r="AB543" s="1" t="inlineStr">
        <is>
          <t>Художественная литература</t>
        </is>
      </c>
      <c r="AC543" s="1" t="inlineStr">
        <is>
          <t>Зарубежная литература</t>
        </is>
      </c>
      <c r="AD543" s="1" t="inlineStr">
        <is>
          <t>Литература Америки и Австралии</t>
        </is>
      </c>
      <c r="AE543" s="1" t="inlineStr">
        <is>
          <t>офсетная</t>
        </is>
      </c>
      <c r="AG543" s="1" t="n">
        <v>9501490</v>
      </c>
      <c r="AI543" s="1" t="inlineStr">
        <is>
          <t>4901990000</t>
        </is>
      </c>
      <c r="AJ543" s="1" t="inlineStr">
        <is>
          <t>Зпв</t>
        </is>
      </c>
    </row>
    <row r="544" customFormat="1" s="1">
      <c r="C544" s="1" t="inlineStr">
        <is>
          <t xml:space="preserve">9675700             </t>
        </is>
      </c>
      <c r="D544" s="1" t="inlineStr">
        <is>
          <t>Город женщин</t>
        </is>
      </c>
      <c r="E544" s="1" t="inlineStr">
        <is>
          <t>Когда мы виделись в последний раз. Лив Константин</t>
        </is>
      </c>
      <c r="F544" s="13" t="inlineStr">
        <is>
          <t>См.обл.</t>
        </is>
      </c>
      <c r="G544" s="1" t="inlineStr">
        <is>
          <t>Лив Константин</t>
        </is>
      </c>
      <c r="H544" s="1" t="inlineStr">
        <is>
          <t>60х90/16</t>
        </is>
      </c>
      <c r="I544" s="1" t="n">
        <v>384</v>
      </c>
      <c r="J544" s="1" t="inlineStr">
        <is>
          <t>РИПОЛ Классик</t>
        </is>
      </c>
      <c r="M544" s="1" t="inlineStr">
        <is>
          <t>2021</t>
        </is>
      </c>
      <c r="N544" s="1" t="inlineStr">
        <is>
          <t>П</t>
        </is>
      </c>
      <c r="O544" s="9" t="n">
        <v>8</v>
      </c>
      <c r="P544" s="1">
        <f>ROUNDUP(1150*(1-$F$3),2)</f>
        <v/>
      </c>
      <c r="Q544" s="1" t="inlineStr">
        <is>
          <t> </t>
        </is>
      </c>
      <c r="R544" s="1" t="inlineStr">
        <is>
          <t>978-5-386-14207-0</t>
        </is>
      </c>
      <c r="S544" s="1" t="inlineStr">
        <is>
          <t>9785386142070</t>
        </is>
      </c>
      <c r="T544" s="9" t="n">
        <v>10</v>
      </c>
      <c r="U544" s="1">
        <f>ROUNDUP(1045.45*(1-$F$3),2)</f>
        <v/>
      </c>
      <c r="V544" s="1" t="n">
        <v>503</v>
      </c>
      <c r="Y544" s="1" t="inlineStr">
        <is>
          <t>Когда мы виделись в последний раз</t>
        </is>
      </c>
      <c r="Z544" s="1" t="inlineStr">
        <is>
          <t>16+</t>
        </is>
      </c>
      <c r="AA544" s="12" t="n">
        <v>44307</v>
      </c>
      <c r="AB544" s="1" t="inlineStr">
        <is>
          <t>Художественная литература</t>
        </is>
      </c>
      <c r="AC544" s="1" t="inlineStr">
        <is>
          <t>Детективы. Боевики. Триллеры</t>
        </is>
      </c>
      <c r="AD544" s="1" t="inlineStr">
        <is>
          <t>Зарубежный детектив</t>
        </is>
      </c>
      <c r="AE544" s="1" t="inlineStr">
        <is>
          <t>офсетная</t>
        </is>
      </c>
      <c r="AG544" s="1" t="n">
        <v>9675700</v>
      </c>
      <c r="AI544" s="1" t="inlineStr">
        <is>
          <t>4901990000</t>
        </is>
      </c>
    </row>
    <row r="545" customFormat="1" s="1">
      <c r="C545" s="1" t="inlineStr">
        <is>
          <t xml:space="preserve">9801690             </t>
        </is>
      </c>
      <c r="D545" s="1" t="inlineStr">
        <is>
          <t>Горы, люди, приключения</t>
        </is>
      </c>
      <c r="E545" s="1" t="inlineStr">
        <is>
          <t>Живой Алтай. Горы, люди, приключения. Рыжков В.А.</t>
        </is>
      </c>
      <c r="F545" s="13" t="inlineStr">
        <is>
          <t>См.обл.</t>
        </is>
      </c>
      <c r="G545" s="1" t="inlineStr">
        <is>
          <t>Рыжков В.А.</t>
        </is>
      </c>
      <c r="H545" s="1" t="inlineStr">
        <is>
          <t>70х100/16</t>
        </is>
      </c>
      <c r="I545" s="1" t="n">
        <v>624</v>
      </c>
      <c r="J545" s="1" t="inlineStr">
        <is>
          <t>РИПОЛ Классик</t>
        </is>
      </c>
      <c r="M545" s="1" t="inlineStr">
        <is>
          <t>2021</t>
        </is>
      </c>
      <c r="N545" s="1" t="inlineStr">
        <is>
          <t>П</t>
        </is>
      </c>
      <c r="O545" s="9" t="n">
        <v>4</v>
      </c>
      <c r="P545" s="1">
        <f>ROUNDUP(2210*(1-$F$3),2)</f>
        <v/>
      </c>
      <c r="Q545" s="1" t="inlineStr">
        <is>
          <t> </t>
        </is>
      </c>
      <c r="R545" s="1" t="inlineStr">
        <is>
          <t>978-5-386-14139-4</t>
        </is>
      </c>
      <c r="S545" s="1" t="inlineStr">
        <is>
          <t>9785386141394</t>
        </is>
      </c>
      <c r="T545" s="9" t="n">
        <v>10</v>
      </c>
      <c r="U545" s="1">
        <f>ROUNDUP(2009.09*(1-$F$3),2)</f>
        <v/>
      </c>
      <c r="V545" s="1" t="n">
        <v>1003</v>
      </c>
      <c r="Y545" s="1" t="inlineStr">
        <is>
          <t>Живой Алтай. Горы, люди, приключения</t>
        </is>
      </c>
      <c r="Z545" s="1" t="inlineStr">
        <is>
          <t>12+</t>
        </is>
      </c>
      <c r="AA545" s="12" t="n">
        <v>44480</v>
      </c>
      <c r="AB545" s="1" t="inlineStr">
        <is>
          <t>Естественные науки. Математика</t>
        </is>
      </c>
      <c r="AC545" s="1" t="inlineStr">
        <is>
          <t>Науки о Земле</t>
        </is>
      </c>
      <c r="AD545" s="1" t="inlineStr">
        <is>
          <t>Страноведение. Краеведение</t>
        </is>
      </c>
      <c r="AE545" s="1" t="inlineStr">
        <is>
          <t>офсетная</t>
        </is>
      </c>
      <c r="AG545" s="1" t="n">
        <v>9801690</v>
      </c>
      <c r="AI545" s="1" t="inlineStr">
        <is>
          <t>4901990000</t>
        </is>
      </c>
    </row>
    <row r="546" customFormat="1" s="1">
      <c r="C546" s="1" t="inlineStr">
        <is>
          <t xml:space="preserve">11199020            </t>
        </is>
      </c>
      <c r="D546" s="1" t="inlineStr">
        <is>
          <t>Готовим со вкусом</t>
        </is>
      </c>
      <c r="E546" s="1" t="inlineStr">
        <is>
          <t>Напитки с градусом и без. Треер Г.М.</t>
        </is>
      </c>
      <c r="F546" s="13" t="inlineStr">
        <is>
          <t>См.обл.</t>
        </is>
      </c>
      <c r="G546" s="1" t="inlineStr">
        <is>
          <t>Треер Г.М.</t>
        </is>
      </c>
      <c r="H546" s="1" t="inlineStr">
        <is>
          <t>84х108/32</t>
        </is>
      </c>
      <c r="I546" s="1" t="n">
        <v>288</v>
      </c>
      <c r="J546" s="1" t="inlineStr">
        <is>
          <t>РИПОЛ Классик</t>
        </is>
      </c>
      <c r="M546" s="1" t="inlineStr">
        <is>
          <t>2024</t>
        </is>
      </c>
      <c r="N546" s="1" t="inlineStr">
        <is>
          <t>О</t>
        </is>
      </c>
      <c r="O546" s="9" t="n">
        <v>14</v>
      </c>
      <c r="P546" s="1">
        <f>ROUNDUP(580*(1-$F$3),2)</f>
        <v/>
      </c>
      <c r="Q546" s="1" t="inlineStr">
        <is>
          <t> </t>
        </is>
      </c>
      <c r="R546" s="1" t="inlineStr">
        <is>
          <t>978-5-386-15159-1</t>
        </is>
      </c>
      <c r="S546" s="1" t="inlineStr">
        <is>
          <t>9785386151591</t>
        </is>
      </c>
      <c r="T546" s="9" t="n">
        <v>22</v>
      </c>
      <c r="U546" s="1">
        <f>ROUNDUP(475.41*(1-$F$3),2)</f>
        <v/>
      </c>
      <c r="V546" s="1" t="n">
        <v>189</v>
      </c>
      <c r="Y546" s="1" t="inlineStr">
        <is>
          <t>Напитки с градусом и без</t>
        </is>
      </c>
      <c r="Z546" s="1" t="inlineStr">
        <is>
          <t>18+</t>
        </is>
      </c>
      <c r="AA546" s="12" t="n">
        <v>45302</v>
      </c>
      <c r="AB546" s="1" t="inlineStr">
        <is>
          <t>Дом. Быт. Досуг</t>
        </is>
      </c>
      <c r="AC546" s="1" t="inlineStr">
        <is>
          <t>Кулинария</t>
        </is>
      </c>
      <c r="AD546" s="1" t="inlineStr">
        <is>
          <t>Напитки. Домашнее виноделие</t>
        </is>
      </c>
      <c r="AE546" s="1" t="inlineStr">
        <is>
          <t>офсетная</t>
        </is>
      </c>
      <c r="AG546" s="1" t="n">
        <v>11199020</v>
      </c>
      <c r="AI546" s="1" t="inlineStr">
        <is>
          <t>4901990000</t>
        </is>
      </c>
    </row>
    <row r="547" customFormat="1" s="1">
      <c r="C547" s="1" t="inlineStr">
        <is>
          <t xml:space="preserve">11199000            </t>
        </is>
      </c>
      <c r="D547" s="1" t="inlineStr">
        <is>
          <t>Готовим со вкусом</t>
        </is>
      </c>
      <c r="E547" s="1" t="inlineStr">
        <is>
          <t>Паста, макароны, спагетти, фетучини. Треер Г.М.</t>
        </is>
      </c>
      <c r="F547" s="13" t="inlineStr">
        <is>
          <t>См.обл.</t>
        </is>
      </c>
      <c r="G547" s="1" t="inlineStr">
        <is>
          <t>Треер Г.М.</t>
        </is>
      </c>
      <c r="H547" s="1" t="inlineStr">
        <is>
          <t>84х108/32</t>
        </is>
      </c>
      <c r="I547" s="1" t="n">
        <v>272</v>
      </c>
      <c r="J547" s="1" t="inlineStr">
        <is>
          <t>РИПОЛ Классик</t>
        </is>
      </c>
      <c r="M547" s="1" t="inlineStr">
        <is>
          <t>2024</t>
        </is>
      </c>
      <c r="N547" s="1" t="inlineStr">
        <is>
          <t>О</t>
        </is>
      </c>
      <c r="O547" s="9" t="n">
        <v>16</v>
      </c>
      <c r="P547" s="1">
        <f>ROUNDUP(580*(1-$F$3),2)</f>
        <v/>
      </c>
      <c r="Q547" s="1" t="inlineStr">
        <is>
          <t> </t>
        </is>
      </c>
      <c r="R547" s="1" t="inlineStr">
        <is>
          <t>978-5-386-15162-1</t>
        </is>
      </c>
      <c r="S547" s="1" t="inlineStr">
        <is>
          <t>9785386151621</t>
        </is>
      </c>
      <c r="T547" s="9" t="n">
        <v>10</v>
      </c>
      <c r="U547" s="1">
        <f>ROUNDUP(527.27*(1-$F$3),2)</f>
        <v/>
      </c>
      <c r="V547" s="1" t="n">
        <v>183</v>
      </c>
      <c r="Y547" s="1" t="inlineStr">
        <is>
          <t>Паста, макароны, спагетти, фетучини</t>
        </is>
      </c>
      <c r="Z547" s="1" t="inlineStr">
        <is>
          <t>12+</t>
        </is>
      </c>
      <c r="AA547" s="12" t="n">
        <v>45302</v>
      </c>
      <c r="AB547" s="1" t="inlineStr">
        <is>
          <t>Дом. Быт. Досуг</t>
        </is>
      </c>
      <c r="AC547" s="1" t="inlineStr">
        <is>
          <t>Кулинария</t>
        </is>
      </c>
      <c r="AD547" s="1" t="inlineStr">
        <is>
          <t>Поваренные книги. Кулинарные рецепты</t>
        </is>
      </c>
      <c r="AE547" s="1" t="inlineStr">
        <is>
          <t>офсетная</t>
        </is>
      </c>
      <c r="AG547" s="1" t="n">
        <v>11199000</v>
      </c>
      <c r="AI547" s="1" t="inlineStr">
        <is>
          <t>4901990000</t>
        </is>
      </c>
    </row>
    <row r="548" customFormat="1" s="1">
      <c r="C548" s="1" t="inlineStr">
        <is>
          <t xml:space="preserve">11198990            </t>
        </is>
      </c>
      <c r="D548" s="1" t="inlineStr">
        <is>
          <t>Готовим со вкусом</t>
        </is>
      </c>
      <c r="E548" s="1" t="inlineStr">
        <is>
          <t>Рагу и запеканки. Треер Г.М.</t>
        </is>
      </c>
      <c r="F548" s="13" t="inlineStr">
        <is>
          <t>См.обл.</t>
        </is>
      </c>
      <c r="G548" s="1" t="inlineStr">
        <is>
          <t>Треер Г.М.</t>
        </is>
      </c>
      <c r="H548" s="1" t="inlineStr">
        <is>
          <t>84х108/32</t>
        </is>
      </c>
      <c r="I548" s="1" t="n">
        <v>272</v>
      </c>
      <c r="J548" s="1" t="inlineStr">
        <is>
          <t>РИПОЛ Классик</t>
        </is>
      </c>
      <c r="M548" s="1" t="inlineStr">
        <is>
          <t>2026</t>
        </is>
      </c>
      <c r="N548" s="1" t="inlineStr">
        <is>
          <t>О</t>
        </is>
      </c>
      <c r="O548" s="9" t="n">
        <v>16</v>
      </c>
      <c r="P548" s="1">
        <f>ROUNDUP(580*(1-$F$3),2)</f>
        <v/>
      </c>
      <c r="Q548" s="1" t="inlineStr">
        <is>
          <t> </t>
        </is>
      </c>
      <c r="R548" s="1" t="inlineStr">
        <is>
          <t>978-5-386-15161-4</t>
        </is>
      </c>
      <c r="S548" s="1" t="inlineStr">
        <is>
          <t>9785386151614</t>
        </is>
      </c>
      <c r="T548" s="9" t="n">
        <v>10</v>
      </c>
      <c r="U548" s="1">
        <f>ROUNDUP(527.27*(1-$F$3),2)</f>
        <v/>
      </c>
      <c r="V548" s="1" t="n">
        <v>181</v>
      </c>
      <c r="Y548" s="1" t="inlineStr">
        <is>
          <t>Рагу и запеканки</t>
        </is>
      </c>
      <c r="Z548" s="1" t="inlineStr">
        <is>
          <t>12+</t>
        </is>
      </c>
      <c r="AA548" s="12" t="n">
        <v>45302</v>
      </c>
      <c r="AB548" s="1" t="inlineStr">
        <is>
          <t>Дом. Быт. Досуг</t>
        </is>
      </c>
      <c r="AC548" s="1" t="inlineStr">
        <is>
          <t>Кулинария</t>
        </is>
      </c>
      <c r="AD548" s="1" t="inlineStr">
        <is>
          <t>Поваренные книги. Кулинарные рецепты</t>
        </is>
      </c>
      <c r="AE548" s="1" t="inlineStr">
        <is>
          <t>офсетная</t>
        </is>
      </c>
      <c r="AG548" s="1" t="n">
        <v>11198990</v>
      </c>
      <c r="AI548" s="1" t="inlineStr">
        <is>
          <t>4901990000</t>
        </is>
      </c>
    </row>
    <row r="549" customFormat="1" s="1">
      <c r="C549" s="1" t="inlineStr">
        <is>
          <t xml:space="preserve">8952750             </t>
        </is>
      </c>
      <c r="D549" s="1" t="inlineStr">
        <is>
          <t>ГринЛит</t>
        </is>
      </c>
      <c r="E549" s="1" t="inlineStr">
        <is>
          <t>Лола и любовь со вкусом вишни: роман. Перкинс С.</t>
        </is>
      </c>
      <c r="F549" s="13" t="inlineStr">
        <is>
          <t>См.обл.</t>
        </is>
      </c>
      <c r="G549" s="1" t="inlineStr">
        <is>
          <t>Перкинс С.</t>
        </is>
      </c>
      <c r="H549" s="1" t="inlineStr">
        <is>
          <t>60х90/16</t>
        </is>
      </c>
      <c r="I549" s="1" t="n">
        <v>319</v>
      </c>
      <c r="J549" s="1" t="inlineStr">
        <is>
          <t>РИПОЛ Классик</t>
        </is>
      </c>
      <c r="K549" s="1" t="inlineStr">
        <is>
          <t>Пальмира</t>
        </is>
      </c>
      <c r="M549" s="1" t="inlineStr">
        <is>
          <t>2019</t>
        </is>
      </c>
      <c r="N549" s="1" t="inlineStr">
        <is>
          <t>О</t>
        </is>
      </c>
      <c r="O549" s="9" t="n">
        <v>20</v>
      </c>
      <c r="P549" s="1">
        <f>ROUNDUP(868.5*(1-$F$3),2)</f>
        <v/>
      </c>
      <c r="Q549" s="1" t="inlineStr">
        <is>
          <t> </t>
        </is>
      </c>
      <c r="R549" s="1" t="inlineStr">
        <is>
          <t>978-5-386-12467-0</t>
        </is>
      </c>
      <c r="S549" s="1" t="inlineStr">
        <is>
          <t>9785386124670</t>
        </is>
      </c>
      <c r="T549" s="9" t="n">
        <v>10</v>
      </c>
      <c r="U549" s="1">
        <f>ROUNDUP(789.55*(1-$F$3),2)</f>
        <v/>
      </c>
      <c r="V549" s="1" t="n">
        <v>315</v>
      </c>
      <c r="Y549" s="1" t="inlineStr">
        <is>
          <t>Лола и любовь со вкусом вишни: роман</t>
        </is>
      </c>
      <c r="Z549" s="1" t="inlineStr">
        <is>
          <t>16+</t>
        </is>
      </c>
      <c r="AA549" s="12" t="n">
        <v>43524</v>
      </c>
      <c r="AB549" s="1" t="inlineStr">
        <is>
          <t>Художественная литература</t>
        </is>
      </c>
      <c r="AC549" s="1" t="inlineStr">
        <is>
          <t>Зарубежная литература</t>
        </is>
      </c>
      <c r="AD549" s="1" t="inlineStr">
        <is>
          <t>Литература Америки и Австралии</t>
        </is>
      </c>
      <c r="AE549" s="1" t="inlineStr">
        <is>
          <t>офсетная</t>
        </is>
      </c>
      <c r="AG549" s="1" t="n">
        <v>8952750</v>
      </c>
      <c r="AI549" s="1" t="inlineStr">
        <is>
          <t>4901990000</t>
        </is>
      </c>
      <c r="AJ549" s="1" t="inlineStr">
        <is>
          <t>Зпв</t>
        </is>
      </c>
    </row>
    <row r="550" customFormat="1" s="1">
      <c r="C550" s="1" t="inlineStr">
        <is>
          <t xml:space="preserve">8970160             </t>
        </is>
      </c>
      <c r="D550" s="1" t="inlineStr">
        <is>
          <t>ГринЛит</t>
        </is>
      </c>
      <c r="E550" s="1" t="inlineStr">
        <is>
          <t>Сердцееды: роман. Новак Э</t>
        </is>
      </c>
      <c r="F550" s="13" t="inlineStr">
        <is>
          <t>См.обл.</t>
        </is>
      </c>
      <c r="G550" s="1" t="inlineStr">
        <is>
          <t>Новак Э</t>
        </is>
      </c>
      <c r="H550" s="1" t="inlineStr">
        <is>
          <t>60х90/16</t>
        </is>
      </c>
      <c r="I550" s="1" t="n">
        <v>335</v>
      </c>
      <c r="J550" s="1" t="inlineStr">
        <is>
          <t>РИПОЛ Классик</t>
        </is>
      </c>
      <c r="K550" s="1" t="inlineStr">
        <is>
          <t>Пальмира</t>
        </is>
      </c>
      <c r="M550" s="1" t="inlineStr">
        <is>
          <t>2019</t>
        </is>
      </c>
      <c r="N550" s="1" t="inlineStr">
        <is>
          <t>О</t>
        </is>
      </c>
      <c r="O550" s="9" t="n">
        <v>20</v>
      </c>
      <c r="P550" s="1">
        <f>ROUNDUP(828.6*(1-$F$3),2)</f>
        <v/>
      </c>
      <c r="Q550" s="1" t="inlineStr">
        <is>
          <t> </t>
        </is>
      </c>
      <c r="R550" s="1" t="inlineStr">
        <is>
          <t>978-5-386-12468-7</t>
        </is>
      </c>
      <c r="S550" s="1" t="inlineStr">
        <is>
          <t>9785386124687</t>
        </is>
      </c>
      <c r="T550" s="9" t="n">
        <v>10</v>
      </c>
      <c r="U550" s="1">
        <f>ROUNDUP(753.27*(1-$F$3),2)</f>
        <v/>
      </c>
      <c r="V550" s="1" t="n">
        <v>333</v>
      </c>
      <c r="Y550" s="1" t="inlineStr">
        <is>
          <t>Сердцееды: роман</t>
        </is>
      </c>
      <c r="Z550" s="1" t="inlineStr">
        <is>
          <t>16+</t>
        </is>
      </c>
      <c r="AA550" s="12" t="n">
        <v>43537</v>
      </c>
      <c r="AB550" s="1" t="inlineStr">
        <is>
          <t>Художественная литература</t>
        </is>
      </c>
      <c r="AC550" s="1" t="inlineStr">
        <is>
          <t>Зарубежная литература</t>
        </is>
      </c>
      <c r="AD550" s="1" t="inlineStr">
        <is>
          <t>Литература Америки и Австралии</t>
        </is>
      </c>
      <c r="AE550" s="1" t="inlineStr">
        <is>
          <t>офсетная</t>
        </is>
      </c>
      <c r="AG550" s="1" t="n">
        <v>8970160</v>
      </c>
      <c r="AI550" s="1" t="inlineStr">
        <is>
          <t>4901990000</t>
        </is>
      </c>
    </row>
    <row r="551" customFormat="1" s="1">
      <c r="C551" s="1" t="inlineStr">
        <is>
          <t xml:space="preserve">9153000             </t>
        </is>
      </c>
      <c r="D551" s="1" t="inlineStr">
        <is>
          <t>ГринЛит</t>
        </is>
      </c>
      <c r="E551" s="1" t="inlineStr">
        <is>
          <t>Три метра над небом: Трижды ты: роман. Моччиа Ф.</t>
        </is>
      </c>
      <c r="F551" s="13" t="inlineStr">
        <is>
          <t>См.обл.</t>
        </is>
      </c>
      <c r="G551" s="1" t="inlineStr">
        <is>
          <t>Моччиа Ф.</t>
        </is>
      </c>
      <c r="H551" s="1" t="inlineStr">
        <is>
          <t>60х90/16</t>
        </is>
      </c>
      <c r="I551" s="1" t="n">
        <v>704</v>
      </c>
      <c r="J551" s="1" t="inlineStr">
        <is>
          <t>РИПОЛ Классик</t>
        </is>
      </c>
      <c r="K551" s="1" t="inlineStr">
        <is>
          <t>Пальмира</t>
        </is>
      </c>
      <c r="M551" s="1" t="inlineStr">
        <is>
          <t>2026</t>
        </is>
      </c>
      <c r="N551" s="1" t="inlineStr">
        <is>
          <t>О</t>
        </is>
      </c>
      <c r="O551" s="9" t="n">
        <v>4</v>
      </c>
      <c r="P551" s="1">
        <f>ROUNDUP(1670*(1-$F$3),2)</f>
        <v/>
      </c>
      <c r="Q551" s="1" t="inlineStr">
        <is>
          <t> </t>
        </is>
      </c>
      <c r="R551" s="1" t="inlineStr">
        <is>
          <t>978-5-386-12706-0</t>
        </is>
      </c>
      <c r="S551" s="1" t="inlineStr">
        <is>
          <t>9785386127060</t>
        </is>
      </c>
      <c r="T551" s="9" t="n">
        <v>10</v>
      </c>
      <c r="U551" s="1">
        <f>ROUNDUP(1518.18*(1-$F$3),2)</f>
        <v/>
      </c>
      <c r="V551" s="1" t="n">
        <v>693</v>
      </c>
      <c r="Y551" s="1" t="inlineStr">
        <is>
          <t>Три метра над небом: Трижды ты: роман</t>
        </is>
      </c>
      <c r="Z551" s="1" t="inlineStr">
        <is>
          <t>18+</t>
        </is>
      </c>
      <c r="AA551" s="12" t="n">
        <v>43713</v>
      </c>
      <c r="AB551" s="1" t="inlineStr">
        <is>
          <t>Художественная литература</t>
        </is>
      </c>
      <c r="AC551" s="1" t="inlineStr">
        <is>
          <t>Сентиментальная проза</t>
        </is>
      </c>
      <c r="AD551" s="1" t="inlineStr">
        <is>
          <t>Зарубежный сентиментальный роман</t>
        </is>
      </c>
      <c r="AE551" s="1" t="inlineStr">
        <is>
          <t>офсетная</t>
        </is>
      </c>
      <c r="AG551" s="1" t="n">
        <v>9153000</v>
      </c>
      <c r="AI551" s="1" t="inlineStr">
        <is>
          <t>4901990000</t>
        </is>
      </c>
    </row>
    <row r="552" customFormat="1" s="1">
      <c r="C552" s="1" t="inlineStr">
        <is>
          <t xml:space="preserve">9086270             </t>
        </is>
      </c>
      <c r="D552" s="1" t="inlineStr">
        <is>
          <t>ГринЛит</t>
        </is>
      </c>
      <c r="E552" s="1" t="inlineStr">
        <is>
          <t>Три метра над небом: Я тебя хочу: роман. Моччиа Ф.</t>
        </is>
      </c>
      <c r="F552" s="13" t="inlineStr">
        <is>
          <t>См.обл.</t>
        </is>
      </c>
      <c r="G552" s="1" t="inlineStr">
        <is>
          <t>Моччиа Ф.</t>
        </is>
      </c>
      <c r="H552" s="1" t="inlineStr">
        <is>
          <t>60х90/16</t>
        </is>
      </c>
      <c r="I552" s="1" t="n">
        <v>526</v>
      </c>
      <c r="J552" s="1" t="inlineStr">
        <is>
          <t>РИПОЛ Классик</t>
        </is>
      </c>
      <c r="K552" s="1" t="inlineStr">
        <is>
          <t>Пальмира</t>
        </is>
      </c>
      <c r="M552" s="1" t="inlineStr">
        <is>
          <t>2026</t>
        </is>
      </c>
      <c r="N552" s="1" t="inlineStr">
        <is>
          <t>О</t>
        </is>
      </c>
      <c r="O552" s="9" t="n">
        <v>10</v>
      </c>
      <c r="P552" s="1">
        <f>ROUNDUP(1300*(1-$F$3),2)</f>
        <v/>
      </c>
      <c r="Q552" s="1" t="inlineStr">
        <is>
          <t> </t>
        </is>
      </c>
      <c r="R552" s="1" t="inlineStr">
        <is>
          <t>978-5-386-12585-1</t>
        </is>
      </c>
      <c r="S552" s="1" t="inlineStr">
        <is>
          <t>9785386125851</t>
        </is>
      </c>
      <c r="T552" s="9" t="n">
        <v>10</v>
      </c>
      <c r="U552" s="1">
        <f>ROUNDUP(1181.82*(1-$F$3),2)</f>
        <v/>
      </c>
      <c r="V552" s="1" t="n">
        <v>517</v>
      </c>
      <c r="Y552" s="1" t="inlineStr">
        <is>
          <t>Три метра над небом: Я тебя хочу: роман</t>
        </is>
      </c>
      <c r="Z552" s="1" t="inlineStr">
        <is>
          <t>16+</t>
        </is>
      </c>
      <c r="AA552" s="12" t="n">
        <v>43647</v>
      </c>
      <c r="AB552" s="1" t="inlineStr">
        <is>
          <t>Художественная литература</t>
        </is>
      </c>
      <c r="AC552" s="1" t="inlineStr">
        <is>
          <t>Сентиментальная проза</t>
        </is>
      </c>
      <c r="AD552" s="1" t="inlineStr">
        <is>
          <t>Зарубежный сентиментальный роман</t>
        </is>
      </c>
      <c r="AE552" s="1" t="inlineStr">
        <is>
          <t>офсетная</t>
        </is>
      </c>
      <c r="AG552" s="1" t="n">
        <v>9086270</v>
      </c>
      <c r="AI552" s="1" t="inlineStr">
        <is>
          <t>4901990000</t>
        </is>
      </c>
    </row>
    <row r="553" customFormat="1" s="1">
      <c r="C553" s="1" t="inlineStr">
        <is>
          <t xml:space="preserve">9613260             </t>
        </is>
      </c>
      <c r="D553" s="1" t="inlineStr">
        <is>
          <t>Дерево желаний</t>
        </is>
      </c>
      <c r="E553" s="1" t="inlineStr">
        <is>
          <t>Исследователь: роман. Ранделл К.</t>
        </is>
      </c>
      <c r="F553" s="13" t="inlineStr">
        <is>
          <t>См.обл.</t>
        </is>
      </c>
      <c r="G553" s="1" t="inlineStr">
        <is>
          <t>Ранделл К.</t>
        </is>
      </c>
      <c r="H553" s="1" t="inlineStr">
        <is>
          <t>60х90/16</t>
        </is>
      </c>
      <c r="I553" s="1" t="n">
        <v>272</v>
      </c>
      <c r="J553" s="1" t="inlineStr">
        <is>
          <t>РИПОЛ Классик</t>
        </is>
      </c>
      <c r="M553" s="1" t="inlineStr">
        <is>
          <t>2021</t>
        </is>
      </c>
      <c r="N553" s="1" t="inlineStr">
        <is>
          <t>П</t>
        </is>
      </c>
      <c r="O553" s="9" t="n">
        <v>14</v>
      </c>
      <c r="P553" s="1">
        <f>ROUNDUP(1100*(1-$F$3),2)</f>
        <v/>
      </c>
      <c r="Q553" s="1" t="inlineStr">
        <is>
          <t> </t>
        </is>
      </c>
      <c r="R553" s="1" t="inlineStr">
        <is>
          <t>978-5-386-14000-7</t>
        </is>
      </c>
      <c r="S553" s="1" t="inlineStr">
        <is>
          <t>9785386140007</t>
        </is>
      </c>
      <c r="T553" s="9" t="n">
        <v>10</v>
      </c>
      <c r="U553" s="1">
        <f>ROUNDUP(1000*(1-$F$3),2)</f>
        <v/>
      </c>
      <c r="V553" s="1" t="n">
        <v>382</v>
      </c>
      <c r="Y553" s="1" t="inlineStr">
        <is>
          <t>Исследователь: роман</t>
        </is>
      </c>
      <c r="Z553" s="1" t="inlineStr">
        <is>
          <t>6 +</t>
        </is>
      </c>
      <c r="AA553" s="12" t="n">
        <v>44214</v>
      </c>
      <c r="AB553" s="1" t="inlineStr">
        <is>
          <t>Художественная литература</t>
        </is>
      </c>
      <c r="AC553" s="1" t="inlineStr">
        <is>
          <t>Приключенческая проза</t>
        </is>
      </c>
      <c r="AD553" s="1" t="inlineStr">
        <is>
          <t>Зарубежная приключенческая проза</t>
        </is>
      </c>
      <c r="AE553" s="1" t="inlineStr">
        <is>
          <t>офсетная</t>
        </is>
      </c>
      <c r="AG553" s="1" t="n">
        <v>9613260</v>
      </c>
      <c r="AI553" s="1" t="inlineStr">
        <is>
          <t>4901990000</t>
        </is>
      </c>
    </row>
    <row r="554" customFormat="1" s="1">
      <c r="C554" s="1" t="inlineStr">
        <is>
          <t xml:space="preserve">9575050             </t>
        </is>
      </c>
      <c r="D554" s="1" t="inlineStr">
        <is>
          <t>Дерево желаний</t>
        </is>
      </c>
      <c r="E554" s="1" t="inlineStr">
        <is>
          <t>Королевский корги. Кроули Дж.</t>
        </is>
      </c>
      <c r="F554" s="13" t="inlineStr">
        <is>
          <t>См.обл.</t>
        </is>
      </c>
      <c r="G554" s="1" t="inlineStr">
        <is>
          <t>Кроули Дж.</t>
        </is>
      </c>
      <c r="H554" s="1" t="inlineStr">
        <is>
          <t>60х90/16</t>
        </is>
      </c>
      <c r="I554" s="1" t="n">
        <v>272</v>
      </c>
      <c r="J554" s="1" t="inlineStr">
        <is>
          <t>РИПОЛ Классик</t>
        </is>
      </c>
      <c r="M554" s="1" t="inlineStr">
        <is>
          <t>2021</t>
        </is>
      </c>
      <c r="N554" s="1" t="inlineStr">
        <is>
          <t>П</t>
        </is>
      </c>
      <c r="O554" s="9" t="n">
        <v>12</v>
      </c>
      <c r="P554" s="1">
        <f>ROUNDUP(1020*(1-$F$3),2)</f>
        <v/>
      </c>
      <c r="Q554" s="1" t="inlineStr">
        <is>
          <t> </t>
        </is>
      </c>
      <c r="R554" s="1" t="inlineStr">
        <is>
          <t>978-5-386-13777-9</t>
        </is>
      </c>
      <c r="S554" s="1" t="inlineStr">
        <is>
          <t>9785386137779</t>
        </is>
      </c>
      <c r="T554" s="9" t="n">
        <v>10</v>
      </c>
      <c r="U554" s="1">
        <f>ROUNDUP(927.27*(1-$F$3),2)</f>
        <v/>
      </c>
      <c r="V554" s="1" t="n">
        <v>389</v>
      </c>
      <c r="Y554" s="1" t="inlineStr">
        <is>
          <t>Королевский корги</t>
        </is>
      </c>
      <c r="Z554" s="1" t="inlineStr">
        <is>
          <t>12+</t>
        </is>
      </c>
      <c r="AA554" s="12" t="n">
        <v>44158</v>
      </c>
      <c r="AB554" s="1" t="inlineStr">
        <is>
          <t>Детская литература</t>
        </is>
      </c>
      <c r="AC554" s="1" t="inlineStr">
        <is>
          <t>Художественная литература</t>
        </is>
      </c>
      <c r="AD554" s="1" t="inlineStr">
        <is>
          <t>Приключения</t>
        </is>
      </c>
      <c r="AE554" s="1" t="inlineStr">
        <is>
          <t>офсетная</t>
        </is>
      </c>
      <c r="AG554" s="1" t="n">
        <v>9575050</v>
      </c>
      <c r="AI554" s="1" t="inlineStr">
        <is>
          <t>4901990000</t>
        </is>
      </c>
    </row>
    <row r="555" customFormat="1" s="1">
      <c r="C555" s="1" t="inlineStr">
        <is>
          <t xml:space="preserve">9610720             </t>
        </is>
      </c>
      <c r="D555" s="1" t="inlineStr">
        <is>
          <t>Дерево желаний</t>
        </is>
      </c>
      <c r="E555" s="1" t="inlineStr">
        <is>
          <t>Хранители историй. Глейзер М.</t>
        </is>
      </c>
      <c r="F555" s="13" t="inlineStr">
        <is>
          <t>См.обл.</t>
        </is>
      </c>
      <c r="G555" s="1" t="inlineStr">
        <is>
          <t>Глейзер М.</t>
        </is>
      </c>
      <c r="H555" s="1" t="inlineStr">
        <is>
          <t>60х90/16</t>
        </is>
      </c>
      <c r="I555" s="1" t="n">
        <v>352</v>
      </c>
      <c r="J555" s="1" t="inlineStr">
        <is>
          <t>РИПОЛ Классик</t>
        </is>
      </c>
      <c r="M555" s="1" t="inlineStr">
        <is>
          <t>2021</t>
        </is>
      </c>
      <c r="N555" s="1" t="inlineStr">
        <is>
          <t>П</t>
        </is>
      </c>
      <c r="O555" s="9" t="n">
        <v>12</v>
      </c>
      <c r="P555" s="1">
        <f>ROUNDUP(1015.6*(1-$F$3),2)</f>
        <v/>
      </c>
      <c r="Q555" s="1" t="inlineStr">
        <is>
          <t> </t>
        </is>
      </c>
      <c r="R555" s="1" t="inlineStr">
        <is>
          <t>978-5-386-13991-9</t>
        </is>
      </c>
      <c r="S555" s="1" t="inlineStr">
        <is>
          <t>9785386139919</t>
        </is>
      </c>
      <c r="T555" s="9" t="n">
        <v>10</v>
      </c>
      <c r="U555" s="1">
        <f>ROUNDUP(923.27*(1-$F$3),2)</f>
        <v/>
      </c>
      <c r="V555" s="1" t="n">
        <v>459</v>
      </c>
      <c r="Y555" s="1" t="inlineStr">
        <is>
          <t>Хранители историй</t>
        </is>
      </c>
      <c r="Z555" s="1" t="inlineStr">
        <is>
          <t>12+</t>
        </is>
      </c>
      <c r="AA555" s="12" t="n">
        <v>44208</v>
      </c>
      <c r="AB555" s="1" t="inlineStr">
        <is>
          <t>Художественная литература</t>
        </is>
      </c>
      <c r="AC555" s="1" t="inlineStr">
        <is>
          <t>Фантастика. Мистика. Ужасы</t>
        </is>
      </c>
      <c r="AD555" s="1" t="inlineStr">
        <is>
          <t>Зарубежная фантастика</t>
        </is>
      </c>
      <c r="AE555" s="1" t="inlineStr">
        <is>
          <t>офсетная</t>
        </is>
      </c>
      <c r="AG555" s="1" t="n">
        <v>9610720</v>
      </c>
      <c r="AI555" s="1" t="inlineStr">
        <is>
          <t>4901990000</t>
        </is>
      </c>
    </row>
    <row r="556" customFormat="1" s="1">
      <c r="C556" s="1" t="inlineStr">
        <is>
          <t xml:space="preserve">9688020             </t>
        </is>
      </c>
      <c r="D556" s="1" t="inlineStr">
        <is>
          <t>Десять лучших книг для подростков</t>
        </is>
      </c>
      <c r="E556" s="1" t="inlineStr">
        <is>
          <t>В погоне за тобой. Семь способов тебя завоевать. Уокер К.</t>
        </is>
      </c>
      <c r="F556" s="13" t="inlineStr">
        <is>
          <t>См.обл.</t>
        </is>
      </c>
      <c r="G556" s="1" t="inlineStr">
        <is>
          <t>Уокер К.</t>
        </is>
      </c>
      <c r="H556" s="1" t="inlineStr">
        <is>
          <t>84х108/32</t>
        </is>
      </c>
      <c r="I556" s="1" t="n">
        <v>320</v>
      </c>
      <c r="J556" s="1" t="inlineStr">
        <is>
          <t>РИПОЛ Классик</t>
        </is>
      </c>
      <c r="M556" s="1" t="inlineStr">
        <is>
          <t>2021</t>
        </is>
      </c>
      <c r="N556" s="1" t="inlineStr">
        <is>
          <t>П</t>
        </is>
      </c>
      <c r="O556" s="9" t="n">
        <v>12</v>
      </c>
      <c r="P556" s="1">
        <f>ROUNDUP(1020*(1-$F$3),2)</f>
        <v/>
      </c>
      <c r="Q556" s="1" t="inlineStr">
        <is>
          <t> </t>
        </is>
      </c>
      <c r="R556" s="1" t="inlineStr">
        <is>
          <t>978-5-386-14069-4</t>
        </is>
      </c>
      <c r="S556" s="1" t="inlineStr">
        <is>
          <t>9785386140694</t>
        </is>
      </c>
      <c r="T556" s="9" t="n">
        <v>10</v>
      </c>
      <c r="U556" s="1">
        <f>ROUNDUP(927.27*(1-$F$3),2)</f>
        <v/>
      </c>
      <c r="V556" s="1" t="n">
        <v>349</v>
      </c>
      <c r="Y556" s="1" t="inlineStr">
        <is>
          <t>В погоне за тобой. Семь способов тебя завоевать</t>
        </is>
      </c>
      <c r="Z556" s="1" t="inlineStr">
        <is>
          <t>16+</t>
        </is>
      </c>
      <c r="AA556" s="12" t="n">
        <v>44287</v>
      </c>
      <c r="AB556" s="1" t="inlineStr">
        <is>
          <t>Художественная литература</t>
        </is>
      </c>
      <c r="AC556" s="1" t="inlineStr">
        <is>
          <t>Зарубежная литература</t>
        </is>
      </c>
      <c r="AD556" s="1" t="inlineStr">
        <is>
          <t>Литература Америки и Австралии</t>
        </is>
      </c>
      <c r="AE556" s="1" t="inlineStr">
        <is>
          <t>офсетная</t>
        </is>
      </c>
      <c r="AG556" s="1" t="n">
        <v>9688020</v>
      </c>
      <c r="AI556" s="1" t="inlineStr">
        <is>
          <t>4901990000</t>
        </is>
      </c>
      <c r="AJ556" s="1" t="inlineStr">
        <is>
          <t>Зпв</t>
        </is>
      </c>
    </row>
    <row r="557" customFormat="1" s="1">
      <c r="C557" s="1" t="inlineStr">
        <is>
          <t xml:space="preserve">9666890             </t>
        </is>
      </c>
      <c r="D557" s="1" t="inlineStr">
        <is>
          <t>Десять лучших книг для подростков</t>
        </is>
      </c>
      <c r="E557" s="1" t="inlineStr">
        <is>
          <t>Скажи нам правду. Рейнхардт Д.</t>
        </is>
      </c>
      <c r="F557" s="13" t="inlineStr">
        <is>
          <t>См.обл.</t>
        </is>
      </c>
      <c r="G557" s="1" t="inlineStr">
        <is>
          <t>Рейнхардт Д.</t>
        </is>
      </c>
      <c r="H557" s="1" t="inlineStr">
        <is>
          <t>84х108/32</t>
        </is>
      </c>
      <c r="I557" s="1" t="n">
        <v>256</v>
      </c>
      <c r="J557" s="1" t="inlineStr">
        <is>
          <t>РИПОЛ Классик</t>
        </is>
      </c>
      <c r="M557" s="1" t="inlineStr">
        <is>
          <t>2021</t>
        </is>
      </c>
      <c r="N557" s="1" t="inlineStr">
        <is>
          <t>П</t>
        </is>
      </c>
      <c r="O557" s="9" t="n">
        <v>14</v>
      </c>
      <c r="P557" s="1">
        <f>ROUNDUP(940*(1-$F$3),2)</f>
        <v/>
      </c>
      <c r="Q557" s="1" t="inlineStr">
        <is>
          <t> </t>
        </is>
      </c>
      <c r="R557" s="1" t="inlineStr">
        <is>
          <t>978-5-386-14070-0</t>
        </is>
      </c>
      <c r="S557" s="1" t="inlineStr">
        <is>
          <t>9785386140700</t>
        </is>
      </c>
      <c r="T557" s="9" t="n">
        <v>10</v>
      </c>
      <c r="U557" s="1">
        <f>ROUNDUP(854.55*(1-$F$3),2)</f>
        <v/>
      </c>
      <c r="V557" s="1" t="n">
        <v>304</v>
      </c>
      <c r="Y557" s="1" t="inlineStr">
        <is>
          <t>Скажи нам правду</t>
        </is>
      </c>
      <c r="Z557" s="1" t="inlineStr">
        <is>
          <t>16+</t>
        </is>
      </c>
      <c r="AA557" s="12" t="n">
        <v>44290</v>
      </c>
      <c r="AB557" s="1" t="inlineStr">
        <is>
          <t>Детская литература</t>
        </is>
      </c>
      <c r="AC557" s="1" t="inlineStr">
        <is>
          <t>Художественная литература</t>
        </is>
      </c>
      <c r="AD557" s="1" t="inlineStr">
        <is>
          <t>Проза. Драматургия</t>
        </is>
      </c>
      <c r="AE557" s="1" t="inlineStr">
        <is>
          <t>офсетная</t>
        </is>
      </c>
      <c r="AG557" s="1" t="n">
        <v>9666890</v>
      </c>
      <c r="AI557" s="1" t="inlineStr">
        <is>
          <t>4901990000</t>
        </is>
      </c>
      <c r="AJ557" s="1" t="inlineStr">
        <is>
          <t>Зпв</t>
        </is>
      </c>
    </row>
    <row r="558" customFormat="1" s="1">
      <c r="C558" s="1" t="inlineStr">
        <is>
          <t xml:space="preserve">9678880             </t>
        </is>
      </c>
      <c r="D558" s="1" t="inlineStr">
        <is>
          <t>Десять лучших книг для подростков</t>
        </is>
      </c>
      <c r="E558" s="1" t="inlineStr">
        <is>
          <t>Толстушка в самолете. ДеВос К.</t>
        </is>
      </c>
      <c r="F558" s="13" t="inlineStr">
        <is>
          <t>См.обл.</t>
        </is>
      </c>
      <c r="G558" s="1" t="inlineStr">
        <is>
          <t>ДеВос К.</t>
        </is>
      </c>
      <c r="H558" s="1" t="inlineStr">
        <is>
          <t>84х108/32</t>
        </is>
      </c>
      <c r="I558" s="1" t="n">
        <v>400</v>
      </c>
      <c r="J558" s="1" t="inlineStr">
        <is>
          <t>РИПОЛ Классик</t>
        </is>
      </c>
      <c r="M558" s="1" t="inlineStr">
        <is>
          <t>2021</t>
        </is>
      </c>
      <c r="N558" s="1" t="inlineStr">
        <is>
          <t>П</t>
        </is>
      </c>
      <c r="O558" s="9" t="n">
        <v>10</v>
      </c>
      <c r="P558" s="1">
        <f>ROUNDUP(1240*(1-$F$3),2)</f>
        <v/>
      </c>
      <c r="Q558" s="1" t="inlineStr">
        <is>
          <t> </t>
        </is>
      </c>
      <c r="R558" s="1" t="inlineStr">
        <is>
          <t>978-5-386-14107-3</t>
        </is>
      </c>
      <c r="S558" s="1" t="inlineStr">
        <is>
          <t>9785386141073</t>
        </is>
      </c>
      <c r="T558" s="9" t="n">
        <v>10</v>
      </c>
      <c r="U558" s="1">
        <f>ROUNDUP(1127.27*(1-$F$3),2)</f>
        <v/>
      </c>
      <c r="V558" s="1" t="n">
        <v>417</v>
      </c>
      <c r="Y558" s="1" t="inlineStr">
        <is>
          <t>Толстушка в самолете</t>
        </is>
      </c>
      <c r="Z558" s="1" t="inlineStr">
        <is>
          <t>16+</t>
        </is>
      </c>
      <c r="AA558" s="12" t="n">
        <v>44311</v>
      </c>
      <c r="AB558" s="1" t="inlineStr">
        <is>
          <t>Художественная литература</t>
        </is>
      </c>
      <c r="AC558" s="1" t="inlineStr">
        <is>
          <t>Зарубежная литература</t>
        </is>
      </c>
      <c r="AD558" s="1" t="inlineStr">
        <is>
          <t>Литература Америки и Австралии</t>
        </is>
      </c>
      <c r="AE558" s="1" t="inlineStr">
        <is>
          <t>офсетная</t>
        </is>
      </c>
      <c r="AG558" s="1" t="n">
        <v>9678880</v>
      </c>
      <c r="AI558" s="1" t="inlineStr">
        <is>
          <t>4901990000</t>
        </is>
      </c>
    </row>
    <row r="559" customFormat="1" s="1">
      <c r="C559" s="1" t="inlineStr">
        <is>
          <t xml:space="preserve">9695560             </t>
        </is>
      </c>
      <c r="D559" s="1" t="inlineStr">
        <is>
          <t>Десять лучших книг для подростков. Второй сезон</t>
        </is>
      </c>
      <c r="E559" s="1" t="inlineStr">
        <is>
          <t>Лунный свет. Беннет Дж.</t>
        </is>
      </c>
      <c r="F559" s="13" t="inlineStr">
        <is>
          <t>См.обл.</t>
        </is>
      </c>
      <c r="G559" s="1" t="inlineStr">
        <is>
          <t>Беннет Дж.</t>
        </is>
      </c>
      <c r="H559" s="1" t="inlineStr">
        <is>
          <t>84х108/32</t>
        </is>
      </c>
      <c r="I559" s="1" t="n">
        <v>448</v>
      </c>
      <c r="J559" s="1" t="inlineStr">
        <is>
          <t>РИПОЛ Классик</t>
        </is>
      </c>
      <c r="M559" s="1" t="inlineStr">
        <is>
          <t>2021</t>
        </is>
      </c>
      <c r="N559" s="1" t="inlineStr">
        <is>
          <t>П</t>
        </is>
      </c>
      <c r="O559" s="9" t="n">
        <v>10</v>
      </c>
      <c r="P559" s="1">
        <f>ROUNDUP(1180*(1-$F$3),2)</f>
        <v/>
      </c>
      <c r="Q559" s="1" t="inlineStr">
        <is>
          <t> </t>
        </is>
      </c>
      <c r="R559" s="1" t="inlineStr">
        <is>
          <t>978-5-386-14220-9</t>
        </is>
      </c>
      <c r="S559" s="1" t="inlineStr">
        <is>
          <t>9785386142209</t>
        </is>
      </c>
      <c r="T559" s="9" t="n">
        <v>10</v>
      </c>
      <c r="U559" s="1">
        <f>ROUNDUP(1072.73*(1-$F$3),2)</f>
        <v/>
      </c>
      <c r="V559" s="1" t="n">
        <v>459</v>
      </c>
      <c r="Y559" s="1" t="inlineStr">
        <is>
          <t>Лунный свет</t>
        </is>
      </c>
      <c r="Z559" s="1" t="inlineStr">
        <is>
          <t>16+</t>
        </is>
      </c>
      <c r="AA559" s="12" t="n">
        <v>44341</v>
      </c>
      <c r="AB559" s="1" t="inlineStr">
        <is>
          <t>Художественная литература</t>
        </is>
      </c>
      <c r="AC559" s="1" t="inlineStr">
        <is>
          <t>Зарубежная литература</t>
        </is>
      </c>
      <c r="AD559" s="1" t="inlineStr">
        <is>
          <t>Литература Америки и Австралии</t>
        </is>
      </c>
      <c r="AE559" s="1" t="inlineStr">
        <is>
          <t>офсетная</t>
        </is>
      </c>
      <c r="AG559" s="1" t="n">
        <v>9695560</v>
      </c>
      <c r="AI559" s="1" t="inlineStr">
        <is>
          <t>4901990000</t>
        </is>
      </c>
    </row>
    <row r="560" customFormat="1" s="1">
      <c r="C560" s="1" t="inlineStr">
        <is>
          <t xml:space="preserve">9676980             </t>
        </is>
      </c>
      <c r="D560" s="1" t="inlineStr">
        <is>
          <t>Десять лучших книг для подростков. Второй сезон</t>
        </is>
      </c>
      <c r="E560" s="1" t="inlineStr">
        <is>
          <t>Любовь на краю света. Крамер И.</t>
        </is>
      </c>
      <c r="F560" s="13" t="inlineStr">
        <is>
          <t>См.обл.</t>
        </is>
      </c>
      <c r="G560" s="1" t="inlineStr">
        <is>
          <t>Крамер И.</t>
        </is>
      </c>
      <c r="H560" s="1" t="inlineStr">
        <is>
          <t>84х108/32</t>
        </is>
      </c>
      <c r="I560" s="1" t="n">
        <v>352</v>
      </c>
      <c r="J560" s="1" t="inlineStr">
        <is>
          <t>РИПОЛ Классик</t>
        </is>
      </c>
      <c r="M560" s="1" t="inlineStr">
        <is>
          <t>2021</t>
        </is>
      </c>
      <c r="N560" s="1" t="inlineStr">
        <is>
          <t>П</t>
        </is>
      </c>
      <c r="O560" s="9" t="n">
        <v>12</v>
      </c>
      <c r="P560" s="1">
        <f>ROUNDUP(1070*(1-$F$3),2)</f>
        <v/>
      </c>
      <c r="Q560" s="1" t="inlineStr">
        <is>
          <t> </t>
        </is>
      </c>
      <c r="R560" s="1" t="inlineStr">
        <is>
          <t>978-5-386-14148-6</t>
        </is>
      </c>
      <c r="S560" s="1" t="inlineStr">
        <is>
          <t>9785386141486</t>
        </is>
      </c>
      <c r="T560" s="9" t="n">
        <v>10</v>
      </c>
      <c r="U560" s="1">
        <f>ROUNDUP(972.73*(1-$F$3),2)</f>
        <v/>
      </c>
      <c r="V560" s="1" t="n">
        <v>379</v>
      </c>
      <c r="Y560" s="1" t="inlineStr">
        <is>
          <t>Любовь на краю света</t>
        </is>
      </c>
      <c r="Z560" s="1" t="inlineStr">
        <is>
          <t>16+</t>
        </is>
      </c>
      <c r="AA560" s="12" t="n">
        <v>44311</v>
      </c>
      <c r="AB560" s="1" t="inlineStr">
        <is>
          <t>Художественная литература</t>
        </is>
      </c>
      <c r="AC560" s="1" t="inlineStr">
        <is>
          <t>Сентиментальная проза</t>
        </is>
      </c>
      <c r="AD560" s="1" t="inlineStr">
        <is>
          <t>Зарубежный сентиментальный роман</t>
        </is>
      </c>
      <c r="AE560" s="1" t="inlineStr">
        <is>
          <t>офсетная</t>
        </is>
      </c>
      <c r="AG560" s="1" t="n">
        <v>9676980</v>
      </c>
      <c r="AI560" s="1" t="inlineStr">
        <is>
          <t>4901990000</t>
        </is>
      </c>
      <c r="AJ560" s="1" t="inlineStr">
        <is>
          <t>Зпв</t>
        </is>
      </c>
    </row>
    <row r="561" customFormat="1" s="1">
      <c r="C561" s="1" t="inlineStr">
        <is>
          <t xml:space="preserve">9401410             </t>
        </is>
      </c>
      <c r="D561" s="1" t="inlineStr">
        <is>
          <t>Дженн Беннет</t>
        </is>
      </c>
      <c r="E561" s="1" t="inlineStr">
        <is>
          <t>Лунный свет. Беннет Дж.</t>
        </is>
      </c>
      <c r="F561" s="13" t="inlineStr">
        <is>
          <t>См.обл.</t>
        </is>
      </c>
      <c r="G561" s="1" t="inlineStr">
        <is>
          <t>Беннет Дж.</t>
        </is>
      </c>
      <c r="H561" s="1" t="inlineStr">
        <is>
          <t>84х108/32</t>
        </is>
      </c>
      <c r="I561" s="1" t="n">
        <v>448</v>
      </c>
      <c r="J561" s="1" t="inlineStr">
        <is>
          <t>РИПОЛ Классик</t>
        </is>
      </c>
      <c r="M561" s="1" t="inlineStr">
        <is>
          <t>2020</t>
        </is>
      </c>
      <c r="N561" s="1" t="inlineStr">
        <is>
          <t>П</t>
        </is>
      </c>
      <c r="O561" s="9" t="n">
        <v>10</v>
      </c>
      <c r="P561" s="1">
        <f>ROUNDUP(1190*(1-$F$3),2)</f>
        <v/>
      </c>
      <c r="Q561" s="1" t="inlineStr">
        <is>
          <t> </t>
        </is>
      </c>
      <c r="R561" s="1" t="inlineStr">
        <is>
          <t>978-5-386-13624-6</t>
        </is>
      </c>
      <c r="S561" s="1" t="inlineStr">
        <is>
          <t>9785386136246</t>
        </is>
      </c>
      <c r="T561" s="9" t="n">
        <v>10</v>
      </c>
      <c r="U561" s="1">
        <f>ROUNDUP(1081.82*(1-$F$3),2)</f>
        <v/>
      </c>
      <c r="V561" s="1" t="n">
        <v>485</v>
      </c>
      <c r="Y561" s="1" t="inlineStr">
        <is>
          <t>Лунный свет</t>
        </is>
      </c>
      <c r="Z561" s="1" t="inlineStr">
        <is>
          <t>16+</t>
        </is>
      </c>
      <c r="AA561" s="12" t="n">
        <v>43998</v>
      </c>
      <c r="AB561" s="1" t="inlineStr">
        <is>
          <t>Художественная литература</t>
        </is>
      </c>
      <c r="AC561" s="1" t="inlineStr">
        <is>
          <t>Зарубежная литература</t>
        </is>
      </c>
      <c r="AD561" s="1" t="inlineStr">
        <is>
          <t>Литература Америки и Австралии</t>
        </is>
      </c>
      <c r="AE561" s="1" t="inlineStr">
        <is>
          <t>офсетная</t>
        </is>
      </c>
      <c r="AG561" s="1" t="n">
        <v>9401410</v>
      </c>
      <c r="AI561" s="1" t="inlineStr">
        <is>
          <t>4901990000</t>
        </is>
      </c>
    </row>
    <row r="562" customFormat="1" s="1">
      <c r="C562" s="1" t="inlineStr">
        <is>
          <t xml:space="preserve">9494740             </t>
        </is>
      </c>
      <c r="D562" s="1" t="inlineStr">
        <is>
          <t>Диагностика личности</t>
        </is>
      </c>
      <c r="E562" s="1" t="inlineStr">
        <is>
          <t>Женские имена. Цифровой психоанализ: практическое руководство. Александров А.Ф.</t>
        </is>
      </c>
      <c r="F562" s="13" t="inlineStr">
        <is>
          <t>См.обл.</t>
        </is>
      </c>
      <c r="G562" s="1" t="inlineStr">
        <is>
          <t>Александров А.Ф.</t>
        </is>
      </c>
      <c r="H562" s="1" t="inlineStr">
        <is>
          <t>84х108/32</t>
        </is>
      </c>
      <c r="I562" s="1" t="n">
        <v>336</v>
      </c>
      <c r="J562" s="1" t="inlineStr">
        <is>
          <t>РИПОЛ Классик</t>
        </is>
      </c>
      <c r="M562" s="1" t="inlineStr">
        <is>
          <t>2020</t>
        </is>
      </c>
      <c r="N562" s="1" t="inlineStr">
        <is>
          <t>П</t>
        </is>
      </c>
      <c r="O562" s="9" t="n">
        <v>10</v>
      </c>
      <c r="P562" s="1">
        <f>ROUNDUP(830*(1-$F$3),2)</f>
        <v/>
      </c>
      <c r="Q562" s="1" t="inlineStr">
        <is>
          <t> </t>
        </is>
      </c>
      <c r="R562" s="1" t="inlineStr">
        <is>
          <t>978-5-386-13771-7</t>
        </is>
      </c>
      <c r="S562" s="1" t="inlineStr">
        <is>
          <t>9785386137717</t>
        </is>
      </c>
      <c r="T562" s="9" t="n">
        <v>22</v>
      </c>
      <c r="U562" s="1">
        <f>ROUNDUP(680.33*(1-$F$3),2)</f>
        <v/>
      </c>
      <c r="V562" s="1" t="n">
        <v>278</v>
      </c>
      <c r="Y562" s="1" t="inlineStr">
        <is>
          <t>Женские имена. Цифровой психоанализ: практическое руководство</t>
        </is>
      </c>
      <c r="Z562" s="1" t="inlineStr">
        <is>
          <t>16+</t>
        </is>
      </c>
      <c r="AA562" s="12" t="n">
        <v>44103</v>
      </c>
      <c r="AB562" s="1" t="inlineStr">
        <is>
          <t>Религии. Эзотерика. Оккультизм</t>
        </is>
      </c>
      <c r="AC562" s="1" t="inlineStr">
        <is>
          <t>Эзотерика. Парапсихология. Тайны</t>
        </is>
      </c>
      <c r="AD562" s="1" t="inlineStr">
        <is>
          <t>Гадания. Толкование снов. Тайны имени</t>
        </is>
      </c>
      <c r="AE562" s="1" t="inlineStr">
        <is>
          <t>газетная</t>
        </is>
      </c>
      <c r="AG562" s="1" t="n">
        <v>9494740</v>
      </c>
      <c r="AI562" s="1" t="inlineStr">
        <is>
          <t>4901990000</t>
        </is>
      </c>
    </row>
    <row r="563" customFormat="1" s="1">
      <c r="C563" s="1" t="inlineStr">
        <is>
          <t xml:space="preserve">9494750             </t>
        </is>
      </c>
      <c r="D563" s="1" t="inlineStr">
        <is>
          <t>Диагностика личности</t>
        </is>
      </c>
      <c r="E563" s="1" t="inlineStr">
        <is>
          <t>Мужские имена. Цифровой психоанализ: практическое руководство. Александров А.Ф.</t>
        </is>
      </c>
      <c r="F563" s="13" t="inlineStr">
        <is>
          <t>См.обл.</t>
        </is>
      </c>
      <c r="G563" s="1" t="inlineStr">
        <is>
          <t>Александров А.Ф.</t>
        </is>
      </c>
      <c r="H563" s="1" t="inlineStr">
        <is>
          <t>84х108/32</t>
        </is>
      </c>
      <c r="I563" s="1" t="n">
        <v>288</v>
      </c>
      <c r="J563" s="1" t="inlineStr">
        <is>
          <t>РИПОЛ Классик</t>
        </is>
      </c>
      <c r="M563" s="1" t="inlineStr">
        <is>
          <t>2020</t>
        </is>
      </c>
      <c r="N563" s="1" t="inlineStr">
        <is>
          <t>П</t>
        </is>
      </c>
      <c r="O563" s="9" t="n">
        <v>12</v>
      </c>
      <c r="P563" s="1">
        <f>ROUNDUP(790*(1-$F$3),2)</f>
        <v/>
      </c>
      <c r="Q563" s="1" t="inlineStr">
        <is>
          <t> </t>
        </is>
      </c>
      <c r="R563" s="1" t="inlineStr">
        <is>
          <t>978-5-386-13770-0</t>
        </is>
      </c>
      <c r="S563" s="1" t="inlineStr">
        <is>
          <t>9785386137700</t>
        </is>
      </c>
      <c r="T563" s="9" t="n">
        <v>22</v>
      </c>
      <c r="U563" s="1">
        <f>ROUNDUP(647.54*(1-$F$3),2)</f>
        <v/>
      </c>
      <c r="V563" s="1" t="n">
        <v>249</v>
      </c>
      <c r="Y563" s="1" t="inlineStr">
        <is>
          <t>Мужские имена. Цифровой психоанализ: практическое руководство</t>
        </is>
      </c>
      <c r="Z563" s="1" t="inlineStr">
        <is>
          <t>16+</t>
        </is>
      </c>
      <c r="AA563" s="12" t="n">
        <v>44103</v>
      </c>
      <c r="AB563" s="1" t="inlineStr">
        <is>
          <t>Религии. Эзотерика. Оккультизм</t>
        </is>
      </c>
      <c r="AC563" s="1" t="inlineStr">
        <is>
          <t>Эзотерика. Парапсихология. Тайны</t>
        </is>
      </c>
      <c r="AD563" s="1" t="inlineStr">
        <is>
          <t>Гадания. Толкование снов. Тайны имени</t>
        </is>
      </c>
      <c r="AE563" s="1" t="inlineStr">
        <is>
          <t>газетная</t>
        </is>
      </c>
      <c r="AG563" s="1" t="n">
        <v>9494750</v>
      </c>
      <c r="AI563" s="1" t="inlineStr">
        <is>
          <t>4901990000</t>
        </is>
      </c>
    </row>
    <row r="564" customFormat="1" s="1">
      <c r="C564" s="1" t="inlineStr">
        <is>
          <t xml:space="preserve">9642140             </t>
        </is>
      </c>
      <c r="D564" s="1" t="inlineStr">
        <is>
          <t>Дневник Гуантанамо</t>
        </is>
      </c>
      <c r="E564" s="1" t="inlineStr">
        <is>
          <t>Мавританец. Особо опасен. Абсолютно невиновен? (пер.). Слахи ульд М.</t>
        </is>
      </c>
      <c r="F564" s="13" t="inlineStr">
        <is>
          <t>См.обл.</t>
        </is>
      </c>
      <c r="G564" s="1" t="inlineStr">
        <is>
          <t>Слахи ульд М.</t>
        </is>
      </c>
      <c r="H564" s="1" t="inlineStr">
        <is>
          <t>60х90/16</t>
        </is>
      </c>
      <c r="I564" s="1" t="n">
        <v>464</v>
      </c>
      <c r="J564" s="1" t="inlineStr">
        <is>
          <t>РИПОЛ Классик</t>
        </is>
      </c>
      <c r="M564" s="1" t="inlineStr">
        <is>
          <t>2021</t>
        </is>
      </c>
      <c r="N564" s="1" t="inlineStr">
        <is>
          <t>П</t>
        </is>
      </c>
      <c r="O564" s="9" t="n">
        <v>10</v>
      </c>
      <c r="P564" s="1">
        <f>ROUNDUP(1240*(1-$F$3),2)</f>
        <v/>
      </c>
      <c r="Q564" s="1" t="inlineStr">
        <is>
          <t> </t>
        </is>
      </c>
      <c r="R564" s="1" t="inlineStr">
        <is>
          <t>978-5-386-14032-8</t>
        </is>
      </c>
      <c r="S564" s="1" t="inlineStr">
        <is>
          <t>9785386140328</t>
        </is>
      </c>
      <c r="T564" s="9" t="n">
        <v>10</v>
      </c>
      <c r="U564" s="1">
        <f>ROUNDUP(1127.27*(1-$F$3),2)</f>
        <v/>
      </c>
      <c r="V564" s="1" t="n">
        <v>591</v>
      </c>
      <c r="Y564" s="1" t="inlineStr">
        <is>
          <t>Мавританец. Особо опасен. Абсолютно невиновен? (пер.)</t>
        </is>
      </c>
      <c r="Z564" s="1" t="inlineStr">
        <is>
          <t>18+</t>
        </is>
      </c>
      <c r="AA564" s="12" t="n">
        <v>44238</v>
      </c>
      <c r="AB564" s="1" t="inlineStr">
        <is>
          <t>Художественная литература</t>
        </is>
      </c>
      <c r="AC564" s="1" t="inlineStr">
        <is>
          <t>Зарубежная литература</t>
        </is>
      </c>
      <c r="AD564" s="1" t="inlineStr">
        <is>
          <t>Литература Америки и Австралии</t>
        </is>
      </c>
      <c r="AE564" s="1" t="inlineStr">
        <is>
          <t>офсетная</t>
        </is>
      </c>
      <c r="AG564" s="1" t="n">
        <v>9642140</v>
      </c>
      <c r="AI564" s="1" t="inlineStr">
        <is>
          <t>4901990000</t>
        </is>
      </c>
      <c r="AJ564" s="1" t="inlineStr">
        <is>
          <t>Зпв</t>
        </is>
      </c>
    </row>
    <row r="565" customFormat="1" s="1">
      <c r="C565" s="1" t="inlineStr">
        <is>
          <t xml:space="preserve">9147770             </t>
        </is>
      </c>
      <c r="D565" s="1" t="inlineStr">
        <is>
          <t>Довлатов</t>
        </is>
      </c>
      <c r="E565" s="1" t="inlineStr">
        <is>
          <t>Довлатов: время, место, судьба. Сухих И.Н.</t>
        </is>
      </c>
      <c r="F565" s="13" t="inlineStr">
        <is>
          <t>См.обл.</t>
        </is>
      </c>
      <c r="G565" s="1" t="inlineStr">
        <is>
          <t>Сухих И.Н.</t>
        </is>
      </c>
      <c r="H565" s="1" t="inlineStr">
        <is>
          <t>84х108/32</t>
        </is>
      </c>
      <c r="I565" s="1" t="n">
        <v>286</v>
      </c>
      <c r="J565" s="1" t="inlineStr">
        <is>
          <t>РИПОЛ Классик</t>
        </is>
      </c>
      <c r="K565" s="1" t="inlineStr">
        <is>
          <t>Пальмира</t>
        </is>
      </c>
      <c r="M565" s="1" t="inlineStr">
        <is>
          <t>2019</t>
        </is>
      </c>
      <c r="N565" s="1" t="inlineStr">
        <is>
          <t>О</t>
        </is>
      </c>
      <c r="O565" s="9" t="n">
        <v>14</v>
      </c>
      <c r="P565" s="1">
        <f>ROUNDUP(970*(1-$F$3),2)</f>
        <v/>
      </c>
      <c r="Q565" s="1" t="inlineStr">
        <is>
          <t> </t>
        </is>
      </c>
      <c r="R565" s="1" t="inlineStr">
        <is>
          <t>978-5-386-12806-7</t>
        </is>
      </c>
      <c r="S565" s="1" t="inlineStr">
        <is>
          <t>9785386128067</t>
        </is>
      </c>
      <c r="T565" s="9" t="n">
        <v>10</v>
      </c>
      <c r="U565" s="1">
        <f>ROUNDUP(881.82*(1-$F$3),2)</f>
        <v/>
      </c>
      <c r="V565" s="1" t="n">
        <v>257</v>
      </c>
      <c r="Y565" s="1" t="inlineStr">
        <is>
          <t>Довлатов: время, место, судьба</t>
        </is>
      </c>
      <c r="Z565" s="1" t="inlineStr">
        <is>
          <t>16+</t>
        </is>
      </c>
      <c r="AA565" s="12" t="n">
        <v>43707</v>
      </c>
      <c r="AB565" s="1" t="inlineStr">
        <is>
          <t>Гуманитарные науки</t>
        </is>
      </c>
      <c r="AC565" s="1" t="inlineStr">
        <is>
          <t>Литературоведение</t>
        </is>
      </c>
      <c r="AD565" s="1" t="inlineStr">
        <is>
          <t>Творческие биографии писателей</t>
        </is>
      </c>
      <c r="AE565" s="1" t="inlineStr">
        <is>
          <t>офсетная</t>
        </is>
      </c>
      <c r="AG565" s="1" t="n">
        <v>9147770</v>
      </c>
      <c r="AI565" s="1" t="inlineStr">
        <is>
          <t>4901990000</t>
        </is>
      </c>
      <c r="AJ565" s="1" t="inlineStr">
        <is>
          <t>Зпв</t>
        </is>
      </c>
    </row>
    <row r="566" customFormat="1" s="1">
      <c r="C566" s="1" t="inlineStr">
        <is>
          <t xml:space="preserve">11627620            </t>
        </is>
      </c>
      <c r="D566" s="1" t="inlineStr">
        <is>
          <t>Дрянные девчонки</t>
        </is>
      </c>
      <c r="E566" s="1" t="inlineStr">
        <is>
          <t>Красавица Бешарам. Вейл Л.</t>
        </is>
      </c>
      <c r="F566" s="13" t="inlineStr">
        <is>
          <t>См.обл.</t>
        </is>
      </c>
      <c r="G566" s="1" t="inlineStr">
        <is>
          <t>Вейл Л.</t>
        </is>
      </c>
      <c r="H566" s="1" t="inlineStr">
        <is>
          <t>60х90/16</t>
        </is>
      </c>
      <c r="I566" s="1" t="n">
        <v>368</v>
      </c>
      <c r="J566" s="1" t="inlineStr">
        <is>
          <t>РИПОЛ Классик</t>
        </is>
      </c>
      <c r="M566" s="1" t="inlineStr">
        <is>
          <t>2025</t>
        </is>
      </c>
      <c r="N566" s="1" t="inlineStr">
        <is>
          <t>П</t>
        </is>
      </c>
      <c r="O566" s="9" t="n">
        <v>6</v>
      </c>
      <c r="P566" s="1">
        <f>ROUNDUP(1040*(1-$F$3),2)</f>
        <v/>
      </c>
      <c r="Q566" s="1" t="inlineStr">
        <is>
          <t> </t>
        </is>
      </c>
      <c r="R566" s="1" t="inlineStr">
        <is>
          <t>978-5-386-15401-1</t>
        </is>
      </c>
      <c r="S566" s="1" t="inlineStr">
        <is>
          <t>9785386154011</t>
        </is>
      </c>
      <c r="T566" s="9" t="n">
        <v>10</v>
      </c>
      <c r="U566" s="1">
        <f>ROUNDUP(945.45*(1-$F$3),2)</f>
        <v/>
      </c>
      <c r="V566" s="1" t="n">
        <v>398</v>
      </c>
      <c r="Y566" s="1" t="inlineStr">
        <is>
          <t>Красавица Бешарам</t>
        </is>
      </c>
      <c r="Z566" s="1" t="inlineStr">
        <is>
          <t>16+</t>
        </is>
      </c>
      <c r="AA566" s="12" t="n">
        <v>45712</v>
      </c>
      <c r="AB566" s="1" t="inlineStr">
        <is>
          <t>Художественная литература</t>
        </is>
      </c>
      <c r="AC566" s="1" t="inlineStr">
        <is>
          <t>Сентиментальная проза</t>
        </is>
      </c>
      <c r="AD566" s="1" t="inlineStr">
        <is>
          <t>Зарубежный сентиментальный роман</t>
        </is>
      </c>
      <c r="AE566" s="1" t="inlineStr">
        <is>
          <t>офсетная</t>
        </is>
      </c>
      <c r="AG566" s="1" t="n">
        <v>11627620</v>
      </c>
      <c r="AI566" s="1" t="inlineStr">
        <is>
          <t>4901990000</t>
        </is>
      </c>
    </row>
    <row r="567" customFormat="1" s="1">
      <c r="C567" s="1" t="inlineStr">
        <is>
          <t xml:space="preserve">11536080            </t>
        </is>
      </c>
      <c r="D567" s="1" t="inlineStr">
        <is>
          <t>Дрянные девчонки</t>
        </is>
      </c>
      <c r="E567" s="1" t="inlineStr">
        <is>
          <t>Непристойные уроки любви. Мюррей А.</t>
        </is>
      </c>
      <c r="F567" s="13" t="inlineStr">
        <is>
          <t>См.обл.</t>
        </is>
      </c>
      <c r="G567" s="1" t="inlineStr">
        <is>
          <t>Мюррей А.</t>
        </is>
      </c>
      <c r="H567" s="1" t="inlineStr">
        <is>
          <t>60х90/16</t>
        </is>
      </c>
      <c r="I567" s="1" t="n">
        <v>336</v>
      </c>
      <c r="J567" s="1" t="inlineStr">
        <is>
          <t>РИПОЛ Классик</t>
        </is>
      </c>
      <c r="M567" s="1" t="inlineStr">
        <is>
          <t>2025</t>
        </is>
      </c>
      <c r="N567" s="1" t="inlineStr">
        <is>
          <t>П</t>
        </is>
      </c>
      <c r="O567" s="9" t="n">
        <v>8</v>
      </c>
      <c r="P567" s="1">
        <f>ROUNDUP(1210*(1-$F$3),2)</f>
        <v/>
      </c>
      <c r="Q567" s="1" t="inlineStr">
        <is>
          <t> </t>
        </is>
      </c>
      <c r="R567" s="1" t="inlineStr">
        <is>
          <t>978-5-386-15206-2</t>
        </is>
      </c>
      <c r="S567" s="1" t="inlineStr">
        <is>
          <t>9785386152062</t>
        </is>
      </c>
      <c r="T567" s="9" t="n">
        <v>22</v>
      </c>
      <c r="U567" s="1">
        <f>ROUNDUP(991.8*(1-$F$3),2)</f>
        <v/>
      </c>
      <c r="V567" s="1" t="n">
        <v>354</v>
      </c>
      <c r="Y567" s="1" t="inlineStr">
        <is>
          <t>Непристойные уроки любви</t>
        </is>
      </c>
      <c r="Z567" s="1" t="inlineStr">
        <is>
          <t>18+</t>
        </is>
      </c>
      <c r="AA567" s="12" t="n">
        <v>45642</v>
      </c>
      <c r="AB567" s="1" t="inlineStr">
        <is>
          <t>Художественная литература</t>
        </is>
      </c>
      <c r="AC567" s="1" t="inlineStr">
        <is>
          <t>Зарубежная литература</t>
        </is>
      </c>
      <c r="AD567" s="1" t="inlineStr">
        <is>
          <t>Европейская литература</t>
        </is>
      </c>
      <c r="AE567" s="1" t="inlineStr">
        <is>
          <t>офсетная</t>
        </is>
      </c>
      <c r="AG567" s="1" t="n">
        <v>11536080</v>
      </c>
      <c r="AI567" s="1" t="inlineStr">
        <is>
          <t>4901990000</t>
        </is>
      </c>
    </row>
    <row r="568" customFormat="1" s="1">
      <c r="C568" s="1" t="inlineStr">
        <is>
          <t xml:space="preserve">9803310             </t>
        </is>
      </c>
      <c r="D568" s="1" t="inlineStr">
        <is>
          <t>Есть, молиться, любить Mini</t>
        </is>
      </c>
      <c r="E568" s="1" t="inlineStr">
        <is>
          <t>Город женщин: роман. Гилберт Э.</t>
        </is>
      </c>
      <c r="F568" s="13" t="inlineStr">
        <is>
          <t>См.обл.</t>
        </is>
      </c>
      <c r="G568" s="1" t="inlineStr">
        <is>
          <t>Гилберт Э.</t>
        </is>
      </c>
      <c r="H568" s="1" t="inlineStr">
        <is>
          <t>70х100/32</t>
        </is>
      </c>
      <c r="I568" s="1" t="n">
        <v>464</v>
      </c>
      <c r="J568" s="1" t="inlineStr">
        <is>
          <t>РИПОЛ Классик</t>
        </is>
      </c>
      <c r="M568" s="1" t="inlineStr">
        <is>
          <t>2026</t>
        </is>
      </c>
      <c r="N568" s="1" t="inlineStr">
        <is>
          <t>О</t>
        </is>
      </c>
      <c r="O568" s="9" t="n">
        <v>10</v>
      </c>
      <c r="P568" s="1">
        <f>ROUNDUP(730*(1-$F$3),2)</f>
        <v/>
      </c>
      <c r="Q568" s="1" t="inlineStr">
        <is>
          <t> </t>
        </is>
      </c>
      <c r="R568" s="1" t="inlineStr">
        <is>
          <t>978-5-386-14444-9</t>
        </is>
      </c>
      <c r="S568" s="1" t="inlineStr">
        <is>
          <t>9785386144449</t>
        </is>
      </c>
      <c r="T568" s="9" t="n">
        <v>10</v>
      </c>
      <c r="U568" s="1">
        <f>ROUNDUP(663.64*(1-$F$3),2)</f>
        <v/>
      </c>
      <c r="V568" s="1" t="n">
        <v>209</v>
      </c>
      <c r="Y568" s="1" t="inlineStr">
        <is>
          <t>Город женщин: роман</t>
        </is>
      </c>
      <c r="Z568" s="1" t="inlineStr">
        <is>
          <t>18+</t>
        </is>
      </c>
      <c r="AA568" s="12" t="n">
        <v>44450</v>
      </c>
      <c r="AB568" s="1" t="inlineStr">
        <is>
          <t>Художественная литература</t>
        </is>
      </c>
      <c r="AC568" s="1" t="inlineStr">
        <is>
          <t>Зарубежная литература</t>
        </is>
      </c>
      <c r="AD568" s="1" t="inlineStr">
        <is>
          <t>Литература Америки и Австралии</t>
        </is>
      </c>
      <c r="AE568" s="1" t="inlineStr">
        <is>
          <t>газетная</t>
        </is>
      </c>
      <c r="AG568" s="1" t="n">
        <v>9803310</v>
      </c>
      <c r="AI568" s="1" t="inlineStr">
        <is>
          <t>4901990000</t>
        </is>
      </c>
    </row>
    <row r="569" customFormat="1" s="1">
      <c r="C569" s="1" t="inlineStr">
        <is>
          <t xml:space="preserve">9812100             </t>
        </is>
      </c>
      <c r="D569" s="1" t="inlineStr">
        <is>
          <t>Есть, молиться, любить Mini</t>
        </is>
      </c>
      <c r="E569" s="1" t="inlineStr">
        <is>
          <t>Самая лучшая жена. Гилберт Э.</t>
        </is>
      </c>
      <c r="F569" s="13" t="inlineStr">
        <is>
          <t>См.обл.</t>
        </is>
      </c>
      <c r="G569" s="1" t="inlineStr">
        <is>
          <t>Гилберт Э.</t>
        </is>
      </c>
      <c r="H569" s="1" t="inlineStr">
        <is>
          <t>70х100/32</t>
        </is>
      </c>
      <c r="I569" s="1" t="n">
        <v>288</v>
      </c>
      <c r="J569" s="1" t="inlineStr">
        <is>
          <t>РИПОЛ Классик</t>
        </is>
      </c>
      <c r="M569" s="1" t="inlineStr">
        <is>
          <t>2021</t>
        </is>
      </c>
      <c r="N569" s="1" t="inlineStr">
        <is>
          <t>О</t>
        </is>
      </c>
      <c r="O569" s="9" t="n">
        <v>16</v>
      </c>
      <c r="P569" s="1">
        <f>ROUNDUP(550*(1-$F$3),2)</f>
        <v/>
      </c>
      <c r="Q569" s="1" t="inlineStr">
        <is>
          <t> </t>
        </is>
      </c>
      <c r="R569" s="1" t="inlineStr">
        <is>
          <t>978-5-386-14443-2</t>
        </is>
      </c>
      <c r="S569" s="1" t="inlineStr">
        <is>
          <t>9785386144432</t>
        </is>
      </c>
      <c r="T569" s="9" t="n">
        <v>10</v>
      </c>
      <c r="U569" s="1">
        <f>ROUNDUP(500*(1-$F$3),2)</f>
        <v/>
      </c>
      <c r="V569" s="1" t="n">
        <v>137</v>
      </c>
      <c r="Y569" s="1" t="inlineStr">
        <is>
          <t>Самая лучшая жена</t>
        </is>
      </c>
      <c r="Z569" s="1" t="inlineStr">
        <is>
          <t>16+</t>
        </is>
      </c>
      <c r="AA569" s="12" t="n">
        <v>44464</v>
      </c>
      <c r="AB569" s="1" t="inlineStr">
        <is>
          <t>Художественная литература</t>
        </is>
      </c>
      <c r="AC569" s="1" t="inlineStr">
        <is>
          <t>Сентиментальная проза</t>
        </is>
      </c>
      <c r="AD569" s="1" t="inlineStr">
        <is>
          <t>Зарубежный сентиментальный роман</t>
        </is>
      </c>
      <c r="AE569" s="1" t="inlineStr">
        <is>
          <t>газетная</t>
        </is>
      </c>
      <c r="AG569" s="1" t="n">
        <v>9812100</v>
      </c>
      <c r="AI569" s="1" t="inlineStr">
        <is>
          <t>4901990000</t>
        </is>
      </c>
      <c r="AJ569" s="1" t="inlineStr">
        <is>
          <t>Зпв</t>
        </is>
      </c>
    </row>
    <row r="570" customFormat="1" s="1">
      <c r="C570" s="1" t="inlineStr">
        <is>
          <t xml:space="preserve">8727680             </t>
        </is>
      </c>
      <c r="D570" s="1" t="inlineStr">
        <is>
          <t>Есть. Молиться, любить. Mini</t>
        </is>
      </c>
      <c r="E570" s="1" t="inlineStr">
        <is>
          <t>Есть, молиться, любить. Гилберт Э.</t>
        </is>
      </c>
      <c r="F570" s="13" t="inlineStr">
        <is>
          <t>См.обл.</t>
        </is>
      </c>
      <c r="G570" s="1" t="inlineStr">
        <is>
          <t>Гилберт Э.</t>
        </is>
      </c>
      <c r="H570" s="1" t="inlineStr">
        <is>
          <t>76х100/32</t>
        </is>
      </c>
      <c r="I570" s="1" t="n">
        <v>496</v>
      </c>
      <c r="J570" s="1" t="inlineStr">
        <is>
          <t>РИПОЛ Классик</t>
        </is>
      </c>
      <c r="M570" s="1" t="inlineStr">
        <is>
          <t>2026</t>
        </is>
      </c>
      <c r="N570" s="1" t="inlineStr">
        <is>
          <t>О</t>
        </is>
      </c>
      <c r="O570" s="9" t="n">
        <v>12</v>
      </c>
      <c r="P570" s="1">
        <f>ROUNDUP(600*(1-$F$3),2)</f>
        <v/>
      </c>
      <c r="Q570" s="1" t="inlineStr">
        <is>
          <t> </t>
        </is>
      </c>
      <c r="R570" s="1" t="inlineStr">
        <is>
          <t>978-5-386-02629-5</t>
        </is>
      </c>
      <c r="S570" s="1" t="inlineStr">
        <is>
          <t>9785386026295</t>
        </is>
      </c>
      <c r="T570" s="9" t="n">
        <v>10</v>
      </c>
      <c r="U570" s="1">
        <f>ROUNDUP(545.45*(1-$F$3),2)</f>
        <v/>
      </c>
      <c r="V570" s="1" t="n">
        <v>241</v>
      </c>
      <c r="Y570" s="1" t="inlineStr">
        <is>
          <t>Есть, молиться, любить</t>
        </is>
      </c>
      <c r="Z570" s="1" t="inlineStr">
        <is>
          <t>16+</t>
        </is>
      </c>
      <c r="AA570" s="12" t="n">
        <v>43326</v>
      </c>
      <c r="AB570" s="1" t="inlineStr">
        <is>
          <t>Художественная литература</t>
        </is>
      </c>
      <c r="AC570" s="1" t="inlineStr">
        <is>
          <t>Зарубежная литература</t>
        </is>
      </c>
      <c r="AD570" s="1" t="inlineStr">
        <is>
          <t>Литература Америки и Австралии</t>
        </is>
      </c>
      <c r="AE570" s="1" t="inlineStr">
        <is>
          <t>офсетная</t>
        </is>
      </c>
      <c r="AG570" s="1" t="n">
        <v>8727680</v>
      </c>
      <c r="AI570" s="1" t="inlineStr">
        <is>
          <t>4901990000</t>
        </is>
      </c>
      <c r="AJ570" s="1" t="inlineStr">
        <is>
          <t>Зпв</t>
        </is>
      </c>
    </row>
    <row r="571" customFormat="1" s="1">
      <c r="C571" s="1" t="inlineStr">
        <is>
          <t xml:space="preserve">11168220            </t>
        </is>
      </c>
      <c r="D571" s="1" t="inlineStr">
        <is>
          <t>Желтая серия</t>
        </is>
      </c>
      <c r="E571" s="1" t="inlineStr">
        <is>
          <t>48 законов власти (полная версия). Грин Р.</t>
        </is>
      </c>
      <c r="F571" s="13" t="inlineStr">
        <is>
          <t>См.обл.</t>
        </is>
      </c>
      <c r="G571" s="1" t="inlineStr">
        <is>
          <t>Грин Р.</t>
        </is>
      </c>
      <c r="H571" s="1" t="inlineStr">
        <is>
          <t>70х100/16</t>
        </is>
      </c>
      <c r="I571" s="1" t="n">
        <v>768</v>
      </c>
      <c r="J571" s="1" t="inlineStr">
        <is>
          <t>РИПОЛ Классик</t>
        </is>
      </c>
      <c r="M571" s="1" t="inlineStr">
        <is>
          <t>2025</t>
        </is>
      </c>
      <c r="N571" s="1" t="inlineStr">
        <is>
          <t>П</t>
        </is>
      </c>
      <c r="O571" s="9" t="n">
        <v>4</v>
      </c>
      <c r="P571" s="1">
        <f>ROUNDUP(1600*(1-$F$3),2)</f>
        <v/>
      </c>
      <c r="Q571" s="1" t="inlineStr">
        <is>
          <t> </t>
        </is>
      </c>
      <c r="R571" s="1" t="inlineStr">
        <is>
          <t>978-5-386-15157-7</t>
        </is>
      </c>
      <c r="S571" s="1" t="inlineStr">
        <is>
          <t>9785386151577</t>
        </is>
      </c>
      <c r="T571" s="9" t="n">
        <v>10</v>
      </c>
      <c r="U571" s="1">
        <f>ROUNDUP(1454.55*(1-$F$3),2)</f>
        <v/>
      </c>
      <c r="V571" s="1" t="n">
        <v>855</v>
      </c>
      <c r="Y571" s="1" t="inlineStr">
        <is>
          <t>48 законов власти (полная версия)</t>
        </is>
      </c>
      <c r="Z571" s="1" t="inlineStr">
        <is>
          <t>16+</t>
        </is>
      </c>
      <c r="AA571" s="12" t="n">
        <v>45286</v>
      </c>
      <c r="AB571" s="1" t="inlineStr">
        <is>
          <t>Общественные науки</t>
        </is>
      </c>
      <c r="AC571" s="1" t="inlineStr">
        <is>
          <t>Политика</t>
        </is>
      </c>
      <c r="AD571" s="1" t="inlineStr">
        <is>
          <t>Государственное управление. Власть</t>
        </is>
      </c>
      <c r="AE571" s="1" t="inlineStr">
        <is>
          <t>офсетная</t>
        </is>
      </c>
      <c r="AG571" s="1" t="n">
        <v>11168220</v>
      </c>
      <c r="AI571" s="1" t="inlineStr">
        <is>
          <t>4901990000</t>
        </is>
      </c>
    </row>
    <row r="572" customFormat="1" s="1">
      <c r="C572" s="1" t="inlineStr">
        <is>
          <t xml:space="preserve">10025130            </t>
        </is>
      </c>
      <c r="D572" s="1" t="inlineStr">
        <is>
          <t>Желтая серия</t>
        </is>
      </c>
      <c r="E572" s="1" t="inlineStr">
        <is>
          <t>Энциклопедия эрудита. Сост. Кондрашов А.П.</t>
        </is>
      </c>
      <c r="F572" s="13" t="inlineStr">
        <is>
          <t>См.обл.</t>
        </is>
      </c>
      <c r="G572" s="1" t="inlineStr">
        <is>
          <t>Сост. Кондрашов А.П.</t>
        </is>
      </c>
      <c r="H572" s="1" t="inlineStr">
        <is>
          <t>70х100/16</t>
        </is>
      </c>
      <c r="I572" s="1" t="n">
        <v>544</v>
      </c>
      <c r="J572" s="1" t="inlineStr">
        <is>
          <t>РИПОЛ Классик</t>
        </is>
      </c>
      <c r="M572" s="1" t="inlineStr">
        <is>
          <t>2024</t>
        </is>
      </c>
      <c r="N572" s="1" t="inlineStr">
        <is>
          <t>О</t>
        </is>
      </c>
      <c r="O572" s="9" t="n">
        <v>5</v>
      </c>
      <c r="P572" s="1">
        <f>ROUNDUP(1290*(1-$F$3),2)</f>
        <v/>
      </c>
      <c r="Q572" s="1" t="inlineStr">
        <is>
          <t> </t>
        </is>
      </c>
      <c r="R572" s="1" t="inlineStr">
        <is>
          <t>978-5-386-14587-3</t>
        </is>
      </c>
      <c r="S572" s="1" t="inlineStr">
        <is>
          <t>9785386145873</t>
        </is>
      </c>
      <c r="T572" s="9" t="n">
        <v>10</v>
      </c>
      <c r="U572" s="1">
        <f>ROUNDUP(1172.73*(1-$F$3),2)</f>
        <v/>
      </c>
      <c r="V572" s="1" t="n">
        <v>643</v>
      </c>
      <c r="Y572" s="1" t="inlineStr">
        <is>
          <t>Энциклопедия эрудита</t>
        </is>
      </c>
      <c r="Z572" s="1" t="inlineStr">
        <is>
          <t>6 +</t>
        </is>
      </c>
      <c r="AA572" s="12" t="n">
        <v>44537</v>
      </c>
      <c r="AB572" s="1" t="inlineStr">
        <is>
          <t>Справочные издания</t>
        </is>
      </c>
      <c r="AC572" s="1" t="inlineStr">
        <is>
          <t>Универсальные словари и энциклопедии</t>
        </is>
      </c>
      <c r="AD572" s="1" t="inlineStr">
        <is>
          <t>Универсальные словари и энциклопедии</t>
        </is>
      </c>
      <c r="AE572" s="1" t="inlineStr">
        <is>
          <t>газетная</t>
        </is>
      </c>
      <c r="AG572" s="1" t="n">
        <v>10025130</v>
      </c>
      <c r="AI572" s="1" t="inlineStr">
        <is>
          <t>4901910000</t>
        </is>
      </c>
    </row>
    <row r="573" customFormat="1" s="1">
      <c r="C573" s="1" t="inlineStr">
        <is>
          <t xml:space="preserve">11490190            </t>
        </is>
      </c>
      <c r="D573" s="1" t="inlineStr">
        <is>
          <t>Женщины-легенды</t>
        </is>
      </c>
      <c r="E573" s="1" t="inlineStr">
        <is>
          <t>Анна Павлова. Легенда русского балета. Литвинская (Ерофеева) Е.В.</t>
        </is>
      </c>
      <c r="F573" s="13" t="inlineStr">
        <is>
          <t>См.обл.</t>
        </is>
      </c>
      <c r="G573" s="1" t="inlineStr">
        <is>
          <t>Литвинская (Ерофеева) Е.В.</t>
        </is>
      </c>
      <c r="H573" s="1" t="inlineStr">
        <is>
          <t>84х108/32</t>
        </is>
      </c>
      <c r="I573" s="1" t="n">
        <v>224</v>
      </c>
      <c r="J573" s="1" t="inlineStr">
        <is>
          <t>РИПОЛ Классик</t>
        </is>
      </c>
      <c r="M573" s="1" t="inlineStr">
        <is>
          <t>2026</t>
        </is>
      </c>
      <c r="N573" s="1" t="inlineStr">
        <is>
          <t>П</t>
        </is>
      </c>
      <c r="O573" s="9" t="n">
        <v>16</v>
      </c>
      <c r="P573" s="1">
        <f>ROUNDUP(930*(1-$F$3),2)</f>
        <v/>
      </c>
      <c r="Q573" s="1" t="inlineStr">
        <is>
          <t> </t>
        </is>
      </c>
      <c r="R573" s="1" t="inlineStr">
        <is>
          <t>978-5-386-15313-7</t>
        </is>
      </c>
      <c r="S573" s="1" t="inlineStr">
        <is>
          <t>9785386153137</t>
        </is>
      </c>
      <c r="T573" s="9" t="n">
        <v>10</v>
      </c>
      <c r="U573" s="1">
        <f>ROUNDUP(845.45*(1-$F$3),2)</f>
        <v/>
      </c>
      <c r="V573" s="1" t="n">
        <v>256</v>
      </c>
      <c r="Y573" s="1" t="inlineStr">
        <is>
          <t>Анна Павлова. Легенда русского балета</t>
        </is>
      </c>
      <c r="Z573" s="1" t="inlineStr">
        <is>
          <t>16+</t>
        </is>
      </c>
      <c r="AA573" s="12" t="n">
        <v>45565</v>
      </c>
      <c r="AB573" s="1" t="inlineStr">
        <is>
          <t>Художественно-документальная проза</t>
        </is>
      </c>
      <c r="AC573" s="1" t="inlineStr">
        <is>
          <t>Биографии. Мемуары</t>
        </is>
      </c>
      <c r="AD573" s="1" t="inlineStr">
        <is>
          <t>Биографии деятелей культуры и искусства</t>
        </is>
      </c>
      <c r="AE573" s="1" t="inlineStr">
        <is>
          <t>офсетная</t>
        </is>
      </c>
      <c r="AG573" s="1" t="n">
        <v>11490190</v>
      </c>
      <c r="AI573" s="1" t="inlineStr">
        <is>
          <t>4901990000</t>
        </is>
      </c>
    </row>
    <row r="574" customFormat="1" s="1">
      <c r="C574" s="1" t="inlineStr">
        <is>
          <t xml:space="preserve">11490200            </t>
        </is>
      </c>
      <c r="D574" s="1" t="inlineStr">
        <is>
          <t>Женщины-легенды</t>
        </is>
      </c>
      <c r="E574" s="1" t="inlineStr">
        <is>
          <t>Наталья Гончарова. Муза А.С. Пушкина. Литвинская (Ерофеева) Е.В.</t>
        </is>
      </c>
      <c r="F574" s="13" t="inlineStr">
        <is>
          <t>См.обл.</t>
        </is>
      </c>
      <c r="G574" s="1" t="inlineStr">
        <is>
          <t>Литвинская (Ерофеева) Е.В.</t>
        </is>
      </c>
      <c r="H574" s="1" t="inlineStr">
        <is>
          <t>84х108/32</t>
        </is>
      </c>
      <c r="I574" s="1" t="n">
        <v>224</v>
      </c>
      <c r="J574" s="1" t="inlineStr">
        <is>
          <t>РИПОЛ Классик</t>
        </is>
      </c>
      <c r="M574" s="1" t="inlineStr">
        <is>
          <t>2026</t>
        </is>
      </c>
      <c r="N574" s="1" t="inlineStr">
        <is>
          <t>П</t>
        </is>
      </c>
      <c r="O574" s="9" t="n">
        <v>10</v>
      </c>
      <c r="P574" s="1">
        <f>ROUNDUP(930*(1-$F$3),2)</f>
        <v/>
      </c>
      <c r="Q574" s="1" t="inlineStr">
        <is>
          <t> </t>
        </is>
      </c>
      <c r="R574" s="1" t="inlineStr">
        <is>
          <t>978-5-386-15316-8</t>
        </is>
      </c>
      <c r="S574" s="1" t="inlineStr">
        <is>
          <t>9785386153168</t>
        </is>
      </c>
      <c r="T574" s="9" t="n">
        <v>10</v>
      </c>
      <c r="U574" s="1">
        <f>ROUNDUP(845.45*(1-$F$3),2)</f>
        <v/>
      </c>
      <c r="V574" s="1" t="n">
        <v>296</v>
      </c>
      <c r="Y574" s="1" t="inlineStr">
        <is>
          <t>Наталья Гончарова. Муза А.С. Пушкина</t>
        </is>
      </c>
      <c r="Z574" s="1" t="inlineStr">
        <is>
          <t>12+</t>
        </is>
      </c>
      <c r="AA574" s="12" t="n">
        <v>45565</v>
      </c>
      <c r="AB574" s="1" t="inlineStr">
        <is>
          <t>Художественно-документальная проза</t>
        </is>
      </c>
      <c r="AC574" s="1" t="inlineStr">
        <is>
          <t>Биографии. Мемуары</t>
        </is>
      </c>
      <c r="AD574" s="1" t="inlineStr">
        <is>
          <t>Биографии деятелей культуры и искусства</t>
        </is>
      </c>
      <c r="AE574" s="1" t="inlineStr">
        <is>
          <t>офсетная</t>
        </is>
      </c>
      <c r="AG574" s="1" t="n">
        <v>11490200</v>
      </c>
      <c r="AI574" s="1" t="inlineStr">
        <is>
          <t>4901990000</t>
        </is>
      </c>
    </row>
    <row r="575" customFormat="1" s="1">
      <c r="C575" s="1" t="inlineStr">
        <is>
          <t xml:space="preserve">10555960            </t>
        </is>
      </c>
      <c r="D575" s="1" t="inlineStr">
        <is>
          <t>Загадки истории</t>
        </is>
      </c>
      <c r="E575" s="1" t="inlineStr">
        <is>
          <t>Молот ведьм. Шпренгер Я., Крамер (Инститорис) Г.</t>
        </is>
      </c>
      <c r="F575" s="13" t="inlineStr">
        <is>
          <t>См.обл.</t>
        </is>
      </c>
      <c r="G575" s="1" t="inlineStr">
        <is>
          <t>Шпренгер Я., Крамер (Инститорис) Г.</t>
        </is>
      </c>
      <c r="H575" s="1" t="inlineStr">
        <is>
          <t>84х108/32</t>
        </is>
      </c>
      <c r="I575" s="1" t="n">
        <v>526</v>
      </c>
      <c r="J575" s="1" t="inlineStr">
        <is>
          <t>РИПОЛ Классик</t>
        </is>
      </c>
      <c r="M575" s="1" t="inlineStr">
        <is>
          <t>2026</t>
        </is>
      </c>
      <c r="N575" s="1" t="inlineStr">
        <is>
          <t>П</t>
        </is>
      </c>
      <c r="O575" s="9" t="n">
        <v>8</v>
      </c>
      <c r="P575" s="1">
        <f>ROUNDUP(1410*(1-$F$3),2)</f>
        <v/>
      </c>
      <c r="Q575" s="1" t="inlineStr">
        <is>
          <t> </t>
        </is>
      </c>
      <c r="R575" s="1" t="inlineStr">
        <is>
          <t>978-5-386-14905-5</t>
        </is>
      </c>
      <c r="S575" s="1" t="inlineStr">
        <is>
          <t>9785386149055</t>
        </is>
      </c>
      <c r="T575" s="9" t="n">
        <v>10</v>
      </c>
      <c r="U575" s="1">
        <f>ROUNDUP(1281.82*(1-$F$3),2)</f>
        <v/>
      </c>
      <c r="V575" s="1" t="n">
        <v>547</v>
      </c>
      <c r="Y575" s="1" t="inlineStr">
        <is>
          <t>Молот ведьм</t>
        </is>
      </c>
      <c r="Z575" s="1" t="inlineStr">
        <is>
          <t>12+</t>
        </is>
      </c>
      <c r="AA575" s="12" t="n">
        <v>44799</v>
      </c>
      <c r="AB575" s="1" t="inlineStr">
        <is>
          <t>Религии. Эзотерика. Оккультизм</t>
        </is>
      </c>
      <c r="AC575" s="1" t="inlineStr">
        <is>
          <t>Христианство</t>
        </is>
      </c>
      <c r="AD575" s="1" t="inlineStr">
        <is>
          <t>Католицизм</t>
        </is>
      </c>
      <c r="AE575" s="1" t="inlineStr">
        <is>
          <t>офсетная</t>
        </is>
      </c>
      <c r="AG575" s="1" t="n">
        <v>10555960</v>
      </c>
      <c r="AI575" s="1" t="inlineStr">
        <is>
          <t>4901990000</t>
        </is>
      </c>
    </row>
    <row r="576" customFormat="1" s="1">
      <c r="C576" s="1" t="inlineStr">
        <is>
          <t xml:space="preserve">10933700            </t>
        </is>
      </c>
      <c r="D576" s="1" t="inlineStr">
        <is>
          <t>Загадочные миры. Приключения</t>
        </is>
      </c>
      <c r="E576" s="1" t="inlineStr">
        <is>
          <t>Петтерсы. Дети гор. Воля П.А</t>
        </is>
      </c>
      <c r="F576" s="13" t="inlineStr">
        <is>
          <t>См.обл.</t>
        </is>
      </c>
      <c r="G576" s="1" t="inlineStr">
        <is>
          <t>Воля П.А.</t>
        </is>
      </c>
      <c r="H576" s="1" t="inlineStr">
        <is>
          <t>70х100/16</t>
        </is>
      </c>
      <c r="I576" s="1" t="n">
        <v>320</v>
      </c>
      <c r="J576" s="1" t="inlineStr">
        <is>
          <t>РИПОЛ Классик</t>
        </is>
      </c>
      <c r="M576" s="1" t="inlineStr">
        <is>
          <t>2023</t>
        </is>
      </c>
      <c r="N576" s="1" t="inlineStr">
        <is>
          <t>П</t>
        </is>
      </c>
      <c r="O576" s="9" t="n">
        <v>5</v>
      </c>
      <c r="P576" s="1">
        <f>ROUNDUP(2200*(1-$F$3),2)</f>
        <v/>
      </c>
      <c r="Q576" s="1" t="inlineStr">
        <is>
          <t> </t>
        </is>
      </c>
      <c r="R576" s="1" t="inlineStr">
        <is>
          <t>978-5-386-15040-2</t>
        </is>
      </c>
      <c r="S576" s="1" t="inlineStr">
        <is>
          <t>9785386150402</t>
        </is>
      </c>
      <c r="T576" s="9" t="n">
        <v>10</v>
      </c>
      <c r="U576" s="1">
        <f>ROUNDUP(2000*(1-$F$3),2)</f>
        <v/>
      </c>
      <c r="V576" s="1" t="n">
        <v>812</v>
      </c>
      <c r="Y576" s="1" t="inlineStr">
        <is>
          <t>Петтерсы. Дети гор</t>
        </is>
      </c>
      <c r="Z576" s="1" t="inlineStr">
        <is>
          <t>12+</t>
        </is>
      </c>
      <c r="AA576" s="12" t="n">
        <v>45167</v>
      </c>
      <c r="AB576" s="1" t="inlineStr">
        <is>
          <t>Детская литература</t>
        </is>
      </c>
      <c r="AC576" s="1" t="inlineStr">
        <is>
          <t>Художественная литература</t>
        </is>
      </c>
      <c r="AD576" s="1" t="inlineStr">
        <is>
          <t>Фантастика. Фэнтэзи. Ужастик</t>
        </is>
      </c>
      <c r="AE576" s="1" t="inlineStr">
        <is>
          <t>офсетная</t>
        </is>
      </c>
      <c r="AG576" s="1" t="n">
        <v>10933700</v>
      </c>
      <c r="AI576" s="1" t="inlineStr">
        <is>
          <t>4901990000</t>
        </is>
      </c>
    </row>
    <row r="577" customFormat="1" s="1">
      <c r="C577" s="1" t="inlineStr">
        <is>
          <t xml:space="preserve">10240320            </t>
        </is>
      </c>
      <c r="D577" s="1" t="inlineStr">
        <is>
          <t>Загадочные миры. Приключения</t>
        </is>
      </c>
      <c r="E577" s="1" t="inlineStr">
        <is>
          <t>Петтерсы. Дети океанов. Воля П.А.</t>
        </is>
      </c>
      <c r="F577" s="13" t="inlineStr">
        <is>
          <t>См.обл.</t>
        </is>
      </c>
      <c r="G577" s="1" t="inlineStr">
        <is>
          <t>Воля П.А.</t>
        </is>
      </c>
      <c r="H577" s="1" t="inlineStr">
        <is>
          <t>70х100/16</t>
        </is>
      </c>
      <c r="I577" s="1" t="n">
        <v>384</v>
      </c>
      <c r="J577" s="1" t="inlineStr">
        <is>
          <t>РИПОЛ Классик</t>
        </is>
      </c>
      <c r="M577" s="1" t="inlineStr">
        <is>
          <t>2026</t>
        </is>
      </c>
      <c r="N577" s="1" t="inlineStr">
        <is>
          <t>П</t>
        </is>
      </c>
      <c r="O577" s="9" t="n">
        <v>7</v>
      </c>
      <c r="P577" s="1">
        <f>ROUNDUP(2010*(1-$F$3),2)</f>
        <v/>
      </c>
      <c r="Q577" s="1" t="inlineStr">
        <is>
          <t> </t>
        </is>
      </c>
      <c r="R577" s="1" t="inlineStr">
        <is>
          <t>978-5-386-14610-8</t>
        </is>
      </c>
      <c r="S577" s="1" t="inlineStr">
        <is>
          <t>9785386146108</t>
        </is>
      </c>
      <c r="T577" s="9" t="n">
        <v>10</v>
      </c>
      <c r="U577" s="1">
        <f>ROUNDUP(1827.27*(1-$F$3),2)</f>
        <v/>
      </c>
      <c r="V577" s="1" t="n">
        <v>919</v>
      </c>
      <c r="Y577" s="1" t="inlineStr">
        <is>
          <t>Петтерсы. Дети океанов</t>
        </is>
      </c>
      <c r="Z577" s="1" t="inlineStr">
        <is>
          <t>12+</t>
        </is>
      </c>
      <c r="AA577" s="12" t="n">
        <v>44636</v>
      </c>
      <c r="AB577" s="1" t="inlineStr">
        <is>
          <t>Детская литература</t>
        </is>
      </c>
      <c r="AC577" s="1" t="inlineStr">
        <is>
          <t>Художественная литература</t>
        </is>
      </c>
      <c r="AD577" s="1" t="inlineStr">
        <is>
          <t>Приключения</t>
        </is>
      </c>
      <c r="AE577" s="1" t="inlineStr">
        <is>
          <t>офсетная</t>
        </is>
      </c>
      <c r="AG577" s="1" t="n">
        <v>10240320</v>
      </c>
      <c r="AI577" s="1" t="inlineStr">
        <is>
          <t>4901990000</t>
        </is>
      </c>
    </row>
    <row r="578" customFormat="1" s="1">
      <c r="C578" s="1" t="inlineStr">
        <is>
          <t>11092800</t>
        </is>
      </c>
      <c r="D578" s="1" t="inlineStr">
        <is>
          <t>Загадочные миры. Приключения</t>
        </is>
      </c>
      <c r="E578" s="1" t="inlineStr">
        <is>
          <t>Петтерсы. Дети океанов; Дети гор (комплект в 2-х книгах). Воля П.А.</t>
        </is>
      </c>
      <c r="F578" s="13" t="inlineStr">
        <is>
          <t>См.обл.</t>
        </is>
      </c>
      <c r="G578" s="1" t="inlineStr">
        <is>
          <t>Воля П.А.</t>
        </is>
      </c>
      <c r="H578" s="1" t="inlineStr">
        <is>
          <t>70х100/16</t>
        </is>
      </c>
      <c r="I578" s="1" t="n">
        <v>704</v>
      </c>
      <c r="J578" s="1" t="inlineStr">
        <is>
          <t>РИПОЛ Классик</t>
        </is>
      </c>
      <c r="M578" s="1" t="inlineStr">
        <is>
          <t>2026</t>
        </is>
      </c>
      <c r="N578" s="1" t="inlineStr">
        <is>
          <t>П</t>
        </is>
      </c>
      <c r="O578" s="9" t="n"/>
      <c r="P578" s="1">
        <f>ROUNDUP(3790*(1-$F$3),2)</f>
        <v/>
      </c>
      <c r="Q578" s="1" t="inlineStr">
        <is>
          <t> </t>
        </is>
      </c>
      <c r="R578" s="1" t="inlineStr">
        <is>
          <t>978-5-521-80825-0</t>
        </is>
      </c>
      <c r="S578" s="1" t="inlineStr">
        <is>
          <t>9785521808250</t>
        </is>
      </c>
      <c r="T578" s="9" t="n">
        <v>10</v>
      </c>
      <c r="U578" s="1">
        <f>ROUNDUP(3445.45*(1-$F$3),2)</f>
        <v/>
      </c>
      <c r="V578" s="1" t="n">
        <v>1776</v>
      </c>
      <c r="Y578" s="1" t="inlineStr">
        <is>
          <t>Петтерсы. Дети океанов; Дети гор (комплект в 2-х книгах)</t>
        </is>
      </c>
      <c r="Z578" s="1" t="inlineStr">
        <is>
          <t>12+</t>
        </is>
      </c>
      <c r="AA578" s="12" t="n">
        <v>45197</v>
      </c>
      <c r="AB578" s="1" t="inlineStr">
        <is>
          <t>Детская литература</t>
        </is>
      </c>
      <c r="AC578" s="1" t="inlineStr">
        <is>
          <t>Художественная литература</t>
        </is>
      </c>
      <c r="AD578" s="1" t="inlineStr">
        <is>
          <t>Приключения</t>
        </is>
      </c>
      <c r="AE578" s="1" t="inlineStr">
        <is>
          <t>офсетная</t>
        </is>
      </c>
      <c r="AG578" s="1" t="n">
        <v>11092800</v>
      </c>
      <c r="AI578" s="1" t="inlineStr">
        <is>
          <t>4901990000</t>
        </is>
      </c>
    </row>
    <row r="579" customFormat="1" s="1">
      <c r="C579" s="1" t="inlineStr">
        <is>
          <t xml:space="preserve">10512000            </t>
        </is>
      </c>
      <c r="D579" s="1" t="inlineStr">
        <is>
          <t>Загадочные миры. Фэнтези</t>
        </is>
      </c>
      <c r="E579" s="1" t="inlineStr">
        <is>
          <t>Дом зеркал. Улисс Мур</t>
        </is>
      </c>
      <c r="F579" s="13" t="inlineStr">
        <is>
          <t>См.обл.</t>
        </is>
      </c>
      <c r="G579" s="1" t="inlineStr">
        <is>
          <t>Улисс Мур</t>
        </is>
      </c>
      <c r="H579" s="1" t="inlineStr">
        <is>
          <t>70х100/16</t>
        </is>
      </c>
      <c r="I579" s="1" t="n">
        <v>192</v>
      </c>
      <c r="J579" s="1" t="inlineStr">
        <is>
          <t>РИПОЛ Классик</t>
        </is>
      </c>
      <c r="M579" s="1" t="inlineStr">
        <is>
          <t>2022</t>
        </is>
      </c>
      <c r="N579" s="1" t="inlineStr">
        <is>
          <t>П</t>
        </is>
      </c>
      <c r="O579" s="9" t="n">
        <v>10</v>
      </c>
      <c r="P579" s="1">
        <f>ROUNDUP(1060*(1-$F$3),2)</f>
        <v/>
      </c>
      <c r="Q579" s="1" t="inlineStr">
        <is>
          <t> </t>
        </is>
      </c>
      <c r="R579" s="1" t="inlineStr">
        <is>
          <t>978-5-386-14851-5</t>
        </is>
      </c>
      <c r="S579" s="1" t="inlineStr">
        <is>
          <t>9785386148515</t>
        </is>
      </c>
      <c r="T579" s="9" t="n">
        <v>10</v>
      </c>
      <c r="U579" s="1">
        <f>ROUNDUP(963.64*(1-$F$3),2)</f>
        <v/>
      </c>
      <c r="V579" s="1" t="n">
        <v>431</v>
      </c>
      <c r="Y579" s="1" t="inlineStr">
        <is>
          <t>Дом зеркал</t>
        </is>
      </c>
      <c r="Z579" s="1" t="inlineStr">
        <is>
          <t>6 +</t>
        </is>
      </c>
      <c r="AA579" s="12" t="n">
        <v>44809</v>
      </c>
      <c r="AB579" s="1" t="inlineStr">
        <is>
          <t>Детская литература</t>
        </is>
      </c>
      <c r="AC579" s="1" t="inlineStr">
        <is>
          <t>Художественная литература</t>
        </is>
      </c>
      <c r="AD579" s="1" t="inlineStr">
        <is>
          <t>Фантастика. Фэнтэзи. Ужастик</t>
        </is>
      </c>
      <c r="AE579" s="1" t="inlineStr">
        <is>
          <t>офсетная</t>
        </is>
      </c>
      <c r="AG579" s="1" t="n">
        <v>10512000</v>
      </c>
      <c r="AI579" s="1" t="inlineStr">
        <is>
          <t>4901990000</t>
        </is>
      </c>
    </row>
    <row r="580" customFormat="1" s="1">
      <c r="C580" s="1" t="inlineStr">
        <is>
          <t xml:space="preserve">10236480            </t>
        </is>
      </c>
      <c r="D580" s="1" t="inlineStr">
        <is>
          <t>Загадочные миры. Фэнтези</t>
        </is>
      </c>
      <c r="E580" s="1" t="inlineStr">
        <is>
          <t>Лавка забытых карт. Улисс Мур</t>
        </is>
      </c>
      <c r="F580" s="13" t="inlineStr">
        <is>
          <t>См.обл.</t>
        </is>
      </c>
      <c r="G580" s="1" t="inlineStr">
        <is>
          <t>Улисс Мур</t>
        </is>
      </c>
      <c r="H580" s="1" t="inlineStr">
        <is>
          <t>70х100/16</t>
        </is>
      </c>
      <c r="I580" s="1" t="n">
        <v>192</v>
      </c>
      <c r="J580" s="1" t="inlineStr">
        <is>
          <t>РИПОЛ Классик</t>
        </is>
      </c>
      <c r="M580" s="1" t="inlineStr">
        <is>
          <t>2022</t>
        </is>
      </c>
      <c r="N580" s="1" t="inlineStr">
        <is>
          <t>П</t>
        </is>
      </c>
      <c r="O580" s="9" t="n">
        <v>7</v>
      </c>
      <c r="P580" s="1">
        <f>ROUNDUP(1250*(1-$F$3),2)</f>
        <v/>
      </c>
      <c r="Q580" s="1" t="inlineStr">
        <is>
          <t> </t>
        </is>
      </c>
      <c r="R580" s="1" t="inlineStr">
        <is>
          <t>978-5-386-14655-9</t>
        </is>
      </c>
      <c r="S580" s="1" t="inlineStr">
        <is>
          <t>9785386146559</t>
        </is>
      </c>
      <c r="T580" s="9" t="n">
        <v>10</v>
      </c>
      <c r="U580" s="1">
        <f>ROUNDUP(1136.36*(1-$F$3),2)</f>
        <v/>
      </c>
      <c r="V580" s="1" t="n">
        <v>473</v>
      </c>
      <c r="Y580" s="1" t="inlineStr">
        <is>
          <t>Лавка забытых карт</t>
        </is>
      </c>
      <c r="Z580" s="1" t="inlineStr">
        <is>
          <t>6 +</t>
        </is>
      </c>
      <c r="AA580" s="12" t="n">
        <v>44603</v>
      </c>
      <c r="AB580" s="1" t="inlineStr">
        <is>
          <t>Детская литература</t>
        </is>
      </c>
      <c r="AC580" s="1" t="inlineStr">
        <is>
          <t>Художественная литература</t>
        </is>
      </c>
      <c r="AD580" s="1" t="inlineStr">
        <is>
          <t>Фантастика. Фэнтэзи. Ужастик</t>
        </is>
      </c>
      <c r="AE580" s="1" t="inlineStr">
        <is>
          <t>офсетная</t>
        </is>
      </c>
      <c r="AG580" s="1" t="n">
        <v>10236480</v>
      </c>
      <c r="AI580" s="1" t="inlineStr">
        <is>
          <t>4901990000</t>
        </is>
      </c>
    </row>
    <row r="581" customFormat="1" s="1">
      <c r="C581" s="1" t="inlineStr">
        <is>
          <t xml:space="preserve">10041650            </t>
        </is>
      </c>
      <c r="D581" s="1" t="inlineStr">
        <is>
          <t>Загадочные миры. Фэнтези</t>
        </is>
      </c>
      <c r="E581" s="1" t="inlineStr">
        <is>
          <t>Магазин из Ниоткуда. Ученик чародея. МакКензи Р.</t>
        </is>
      </c>
      <c r="F581" s="13" t="inlineStr">
        <is>
          <t>См.обл.</t>
        </is>
      </c>
      <c r="G581" s="1" t="inlineStr">
        <is>
          <t>МакКензи Р.</t>
        </is>
      </c>
      <c r="H581" s="1" t="inlineStr">
        <is>
          <t>70х100/16</t>
        </is>
      </c>
      <c r="I581" s="1" t="n">
        <v>304</v>
      </c>
      <c r="J581" s="1" t="inlineStr">
        <is>
          <t>РИПОЛ Классик</t>
        </is>
      </c>
      <c r="M581" s="1" t="inlineStr">
        <is>
          <t>2022</t>
        </is>
      </c>
      <c r="N581" s="1" t="inlineStr">
        <is>
          <t>П</t>
        </is>
      </c>
      <c r="O581" s="9" t="n">
        <v>5</v>
      </c>
      <c r="P581" s="1">
        <f>ROUNDUP(1740*(1-$F$3),2)</f>
        <v/>
      </c>
      <c r="Q581" s="1" t="inlineStr">
        <is>
          <t> </t>
        </is>
      </c>
      <c r="R581" s="1" t="inlineStr">
        <is>
          <t>978-5-386-14441-8</t>
        </is>
      </c>
      <c r="S581" s="1" t="inlineStr">
        <is>
          <t>9785386144418</t>
        </is>
      </c>
      <c r="T581" s="9" t="n">
        <v>10</v>
      </c>
      <c r="U581" s="1">
        <f>ROUNDUP(1581.82*(1-$F$3),2)</f>
        <v/>
      </c>
      <c r="V581" s="1" t="n">
        <v>913</v>
      </c>
      <c r="Y581" s="1" t="inlineStr">
        <is>
          <t>Магазин из Ниоткуда. Ученик чародея</t>
        </is>
      </c>
      <c r="Z581" s="1" t="inlineStr">
        <is>
          <t>6 +</t>
        </is>
      </c>
      <c r="AA581" s="12" t="n">
        <v>44571</v>
      </c>
      <c r="AB581" s="1" t="inlineStr">
        <is>
          <t>Детская литература</t>
        </is>
      </c>
      <c r="AC581" s="1" t="inlineStr">
        <is>
          <t>Художественная литература</t>
        </is>
      </c>
      <c r="AD581" s="1" t="inlineStr">
        <is>
          <t>Фантастика. Фэнтэзи. Ужастик</t>
        </is>
      </c>
      <c r="AE581" s="1" t="inlineStr">
        <is>
          <t>офсетная</t>
        </is>
      </c>
      <c r="AG581" s="1" t="n">
        <v>10041650</v>
      </c>
      <c r="AI581" s="1" t="inlineStr">
        <is>
          <t>4901990000</t>
        </is>
      </c>
    </row>
    <row r="582" customFormat="1" s="1">
      <c r="C582" s="1" t="inlineStr">
        <is>
          <t>12268480</t>
        </is>
      </c>
      <c r="D582" s="1" t="inlineStr">
        <is>
          <t>Загадочные миры. Фэнтези</t>
        </is>
      </c>
      <c r="E582" s="1" t="inlineStr">
        <is>
          <t>Подростковое фэнтези (комплект из 4-х книг). Улисс Мур, Моклер С.</t>
        </is>
      </c>
      <c r="F582" s="13" t="inlineStr">
        <is>
          <t>См.обл.</t>
        </is>
      </c>
      <c r="G582" s="1" t="inlineStr">
        <is>
          <t>Улисс Мур, Моклер С.</t>
        </is>
      </c>
      <c r="H582" s="1" t="inlineStr">
        <is>
          <t>70х100/16</t>
        </is>
      </c>
      <c r="I582" s="1" t="n">
        <v>918</v>
      </c>
      <c r="J582" s="1" t="inlineStr">
        <is>
          <t>РИПОЛ Классик</t>
        </is>
      </c>
      <c r="M582" s="1" t="inlineStr">
        <is>
          <t>2024</t>
        </is>
      </c>
      <c r="N582" s="1" t="inlineStr">
        <is>
          <t>П</t>
        </is>
      </c>
      <c r="O582" s="9" t="n"/>
      <c r="P582" s="1">
        <f>ROUNDUP(4230*(1-$F$3),2)</f>
        <v/>
      </c>
      <c r="Q582" s="1" t="inlineStr">
        <is>
          <t> </t>
        </is>
      </c>
      <c r="R582" s="1" t="inlineStr">
        <is>
          <t>978-5-8854-0455-6</t>
        </is>
      </c>
      <c r="S582" s="1" t="inlineStr">
        <is>
          <t>9785885404556</t>
        </is>
      </c>
      <c r="T582" s="9" t="n">
        <v>10</v>
      </c>
      <c r="U582" s="1">
        <f>ROUNDUP(3845.45*(1-$F$3),2)</f>
        <v/>
      </c>
      <c r="V582" s="1" t="n">
        <v>1798</v>
      </c>
      <c r="Y582" s="1" t="inlineStr">
        <is>
          <t>Подростковое фэнтези (комплект из 4-х книг)</t>
        </is>
      </c>
      <c r="Z582" s="1" t="inlineStr">
        <is>
          <t>6 +</t>
        </is>
      </c>
      <c r="AA582" s="12" t="n">
        <v>46273</v>
      </c>
      <c r="AB582" s="1" t="inlineStr">
        <is>
          <t>Детская литература</t>
        </is>
      </c>
      <c r="AC582" s="1" t="inlineStr">
        <is>
          <t>Художественная литература</t>
        </is>
      </c>
      <c r="AD582" s="1" t="inlineStr">
        <is>
          <t>Фантастика. Фэнтэзи. Ужастик</t>
        </is>
      </c>
      <c r="AE582" s="1" t="inlineStr">
        <is>
          <t>офсетная</t>
        </is>
      </c>
      <c r="AG582" s="1" t="n">
        <v>12268480</v>
      </c>
      <c r="AI582" s="1" t="inlineStr">
        <is>
          <t>4901990000</t>
        </is>
      </c>
    </row>
    <row r="583" customFormat="1" s="1">
      <c r="C583" s="1" t="inlineStr">
        <is>
          <t>320280</t>
        </is>
      </c>
      <c r="D583" s="1" t="inlineStr">
        <is>
          <t>Заграница без вранья</t>
        </is>
      </c>
      <c r="E583" s="1" t="inlineStr">
        <is>
          <t>Корея без вранья. Кирьянов О.В.</t>
        </is>
      </c>
      <c r="F583" s="13" t="inlineStr">
        <is>
          <t>См.обл.</t>
        </is>
      </c>
      <c r="G583" s="1" t="inlineStr">
        <is>
          <t>Кирьянов О.В.</t>
        </is>
      </c>
      <c r="H583" s="1" t="inlineStr">
        <is>
          <t>84х108/32</t>
        </is>
      </c>
      <c r="I583" s="1" t="n">
        <v>352</v>
      </c>
      <c r="J583" s="1" t="inlineStr">
        <is>
          <t>РИПОЛ Классик</t>
        </is>
      </c>
      <c r="M583" s="1" t="inlineStr">
        <is>
          <t>2020</t>
        </is>
      </c>
      <c r="N583" s="1" t="inlineStr">
        <is>
          <t>О</t>
        </is>
      </c>
      <c r="O583" s="9" t="n">
        <v>12</v>
      </c>
      <c r="P583" s="1">
        <f>ROUNDUP(865.6*(1-$F$3),2)</f>
        <v/>
      </c>
      <c r="Q583" s="1" t="inlineStr">
        <is>
          <t> </t>
        </is>
      </c>
      <c r="R583" s="1" t="inlineStr">
        <is>
          <t>978-5-386-08381-6</t>
        </is>
      </c>
      <c r="S583" s="1" t="inlineStr">
        <is>
          <t>9785386083816</t>
        </is>
      </c>
      <c r="T583" s="9" t="n">
        <v>10</v>
      </c>
      <c r="U583" s="1">
        <f>ROUNDUP(786.91*(1-$F$3),2)</f>
        <v/>
      </c>
      <c r="V583" s="1" t="n">
        <v>324</v>
      </c>
      <c r="W583" s="1" t="inlineStr">
        <is>
          <t xml:space="preserve">037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583" s="1" t="inlineStr">
        <is>
          <t xml:space="preserve">Этнография.  Этнология. Традиции. Праздники. Ритуалы                                                                            </t>
        </is>
      </c>
      <c r="Y583" s="1" t="inlineStr">
        <is>
          <t>Корея без вранья</t>
        </is>
      </c>
      <c r="Z583" s="1" t="inlineStr">
        <is>
          <t>16+</t>
        </is>
      </c>
      <c r="AA583" s="12" t="n">
        <v>42178</v>
      </c>
      <c r="AB583" s="1" t="inlineStr">
        <is>
          <t>Художественно-документальная проза</t>
        </is>
      </c>
      <c r="AC583" s="1" t="inlineStr">
        <is>
          <t>Публицистика</t>
        </is>
      </c>
      <c r="AD583" s="1" t="inlineStr">
        <is>
          <t>Рассказы путешественников и натуралистов</t>
        </is>
      </c>
      <c r="AE583" s="1" t="inlineStr">
        <is>
          <t>офсетная</t>
        </is>
      </c>
      <c r="AG583" s="1" t="n">
        <v>6894270</v>
      </c>
      <c r="AI583" s="1" t="inlineStr">
        <is>
          <t>4901990000</t>
        </is>
      </c>
    </row>
    <row r="584" customFormat="1" s="1">
      <c r="C584" s="1" t="inlineStr">
        <is>
          <t xml:space="preserve">7923680             </t>
        </is>
      </c>
      <c r="D584" s="1" t="inlineStr">
        <is>
          <t>Заграница без вранья</t>
        </is>
      </c>
      <c r="E584" s="1" t="inlineStr">
        <is>
          <t>Сирия без вранья. Виноградов А.А.</t>
        </is>
      </c>
      <c r="F584" s="13" t="inlineStr">
        <is>
          <t>См.обл.</t>
        </is>
      </c>
      <c r="G584" s="1" t="inlineStr">
        <is>
          <t>Виноградов А.А.</t>
        </is>
      </c>
      <c r="H584" s="1" t="inlineStr">
        <is>
          <t>84х108/32</t>
        </is>
      </c>
      <c r="I584" s="1" t="n">
        <v>218</v>
      </c>
      <c r="J584" s="1" t="inlineStr">
        <is>
          <t>РИПОЛ Классик</t>
        </is>
      </c>
      <c r="M584" s="1" t="inlineStr">
        <is>
          <t>2017</t>
        </is>
      </c>
      <c r="N584" s="1" t="inlineStr">
        <is>
          <t>О</t>
        </is>
      </c>
      <c r="O584" s="9" t="n">
        <v>26</v>
      </c>
      <c r="P584" s="1">
        <f>ROUNDUP(750*(1-$F$3),2)</f>
        <v/>
      </c>
      <c r="Q584" s="1" t="inlineStr">
        <is>
          <t> </t>
        </is>
      </c>
      <c r="R584" s="1" t="inlineStr">
        <is>
          <t>978-5-386-09669-4</t>
        </is>
      </c>
      <c r="S584" s="1" t="inlineStr">
        <is>
          <t>9785386096694</t>
        </is>
      </c>
      <c r="T584" s="9" t="n">
        <v>10</v>
      </c>
      <c r="U584" s="1">
        <f>ROUNDUP(681.82*(1-$F$3),2)</f>
        <v/>
      </c>
      <c r="V584" s="1" t="n">
        <v>204</v>
      </c>
      <c r="Y584" s="1" t="inlineStr">
        <is>
          <t>Сирия без вранья</t>
        </is>
      </c>
      <c r="Z584" s="1" t="inlineStr">
        <is>
          <t>16+</t>
        </is>
      </c>
      <c r="AA584" s="12" t="n">
        <v>42705</v>
      </c>
      <c r="AB584" s="1" t="inlineStr">
        <is>
          <t>Художественно-документальная проза</t>
        </is>
      </c>
      <c r="AC584" s="1" t="inlineStr">
        <is>
          <t>Публицистика</t>
        </is>
      </c>
      <c r="AD584" s="1" t="inlineStr">
        <is>
          <t>Рассказы путешественников и натуралистов</t>
        </is>
      </c>
      <c r="AE584" s="1" t="inlineStr">
        <is>
          <t> </t>
        </is>
      </c>
      <c r="AG584" s="1" t="n">
        <v>7923680</v>
      </c>
      <c r="AI584" s="1" t="inlineStr">
        <is>
          <t>4901990000</t>
        </is>
      </c>
    </row>
    <row r="585" customFormat="1" s="1">
      <c r="C585" s="1" t="inlineStr">
        <is>
          <t xml:space="preserve">9157270             </t>
        </is>
      </c>
      <c r="D585" s="1" t="inlineStr">
        <is>
          <t>Заграница без вранья</t>
        </is>
      </c>
      <c r="E585" s="1" t="inlineStr">
        <is>
          <t>Что такое Барселона. Хамон, пляжи, независтимость. Гаврилова Д.</t>
        </is>
      </c>
      <c r="F585" s="13" t="inlineStr">
        <is>
          <t>См.обл.</t>
        </is>
      </c>
      <c r="G585" s="1" t="inlineStr">
        <is>
          <t>Гаврилова Д.</t>
        </is>
      </c>
      <c r="H585" s="1" t="inlineStr">
        <is>
          <t>84х108/32</t>
        </is>
      </c>
      <c r="I585" s="1" t="n">
        <v>448</v>
      </c>
      <c r="J585" s="1" t="inlineStr">
        <is>
          <t>РИПОЛ Классик</t>
        </is>
      </c>
      <c r="M585" s="1" t="inlineStr">
        <is>
          <t>2019</t>
        </is>
      </c>
      <c r="N585" s="1" t="inlineStr">
        <is>
          <t>П</t>
        </is>
      </c>
      <c r="O585" s="9" t="n">
        <v>8</v>
      </c>
      <c r="P585" s="1">
        <f>ROUNDUP(1410*(1-$F$3),2)</f>
        <v/>
      </c>
      <c r="Q585" s="1" t="inlineStr">
        <is>
          <t> </t>
        </is>
      </c>
      <c r="R585" s="1" t="inlineStr">
        <is>
          <t>978-5-386-13446-4</t>
        </is>
      </c>
      <c r="S585" s="1" t="inlineStr">
        <is>
          <t>9785386134464</t>
        </is>
      </c>
      <c r="T585" s="9" t="n">
        <v>10</v>
      </c>
      <c r="U585" s="1">
        <f>ROUNDUP(1281.82*(1-$F$3),2)</f>
        <v/>
      </c>
      <c r="V585" s="1" t="n">
        <v>547</v>
      </c>
      <c r="Y585" s="1" t="inlineStr">
        <is>
          <t>Что такое Барселона. Хамон, пляжи, независтимость</t>
        </is>
      </c>
      <c r="Z585" s="1" t="inlineStr">
        <is>
          <t>12+</t>
        </is>
      </c>
      <c r="AA585" s="12" t="n">
        <v>43765</v>
      </c>
      <c r="AB585" s="1" t="inlineStr">
        <is>
          <t>Художественно-документальная проза</t>
        </is>
      </c>
      <c r="AC585" s="1" t="inlineStr">
        <is>
          <t>Публицистика</t>
        </is>
      </c>
      <c r="AD585" s="1" t="inlineStr">
        <is>
          <t>Рассказы путешественников и натуралистов</t>
        </is>
      </c>
      <c r="AE585" s="1" t="inlineStr">
        <is>
          <t>офсетная</t>
        </is>
      </c>
      <c r="AG585" s="1" t="n">
        <v>9157270</v>
      </c>
      <c r="AI585" s="1" t="inlineStr">
        <is>
          <t>4901990000</t>
        </is>
      </c>
    </row>
    <row r="586" customFormat="1" s="1">
      <c r="C586" s="1" t="inlineStr">
        <is>
          <t xml:space="preserve">8925100             </t>
        </is>
      </c>
      <c r="D586" s="1" t="inlineStr">
        <is>
          <t>Заграница без вранья</t>
        </is>
      </c>
      <c r="E586" s="1" t="inlineStr">
        <is>
          <t>Что такое Мадейра. Остальский А.В.</t>
        </is>
      </c>
      <c r="F586" s="13" t="inlineStr">
        <is>
          <t>См.обл.</t>
        </is>
      </c>
      <c r="G586" s="1" t="inlineStr">
        <is>
          <t>Остальский А.В.</t>
        </is>
      </c>
      <c r="H586" s="1" t="inlineStr">
        <is>
          <t>84х108/32</t>
        </is>
      </c>
      <c r="I586" s="1" t="n">
        <v>351</v>
      </c>
      <c r="J586" s="1" t="inlineStr">
        <is>
          <t>РИПОЛ Классик</t>
        </is>
      </c>
      <c r="K586" s="1" t="inlineStr">
        <is>
          <t>Пальмира</t>
        </is>
      </c>
      <c r="M586" s="1" t="inlineStr">
        <is>
          <t>2019</t>
        </is>
      </c>
      <c r="N586" s="1" t="inlineStr">
        <is>
          <t>П</t>
        </is>
      </c>
      <c r="O586" s="9" t="n">
        <v>10</v>
      </c>
      <c r="P586" s="1">
        <f>ROUNDUP(1120*(1-$F$3),2)</f>
        <v/>
      </c>
      <c r="Q586" s="1" t="inlineStr">
        <is>
          <t> </t>
        </is>
      </c>
      <c r="R586" s="1" t="inlineStr">
        <is>
          <t>978-5-386-12419-9</t>
        </is>
      </c>
      <c r="S586" s="1" t="inlineStr">
        <is>
          <t>9785386124199</t>
        </is>
      </c>
      <c r="T586" s="9" t="n">
        <v>10</v>
      </c>
      <c r="U586" s="1">
        <f>ROUNDUP(1018.18*(1-$F$3),2)</f>
        <v/>
      </c>
      <c r="V586" s="1" t="n">
        <v>394</v>
      </c>
      <c r="Y586" s="1" t="inlineStr">
        <is>
          <t>Что такое Мадейра</t>
        </is>
      </c>
      <c r="Z586" s="1" t="inlineStr">
        <is>
          <t>12+</t>
        </is>
      </c>
      <c r="AA586" s="12" t="n">
        <v>43501</v>
      </c>
      <c r="AB586" s="1" t="inlineStr">
        <is>
          <t>Художественно-документальная проза</t>
        </is>
      </c>
      <c r="AC586" s="1" t="inlineStr">
        <is>
          <t>Публицистика</t>
        </is>
      </c>
      <c r="AD586" s="1" t="inlineStr">
        <is>
          <t>Рассказы путешественников и натуралистов</t>
        </is>
      </c>
      <c r="AE586" s="1" t="inlineStr">
        <is>
          <t>офсетная</t>
        </is>
      </c>
      <c r="AG586" s="1" t="n">
        <v>8925100</v>
      </c>
      <c r="AI586" s="1" t="inlineStr">
        <is>
          <t>4901990000</t>
        </is>
      </c>
    </row>
    <row r="587" customFormat="1" s="1">
      <c r="C587" s="1" t="inlineStr">
        <is>
          <t xml:space="preserve">8927920             </t>
        </is>
      </c>
      <c r="D587" s="1" t="inlineStr">
        <is>
          <t>Записки адвоката</t>
        </is>
      </c>
      <c r="E587" s="1" t="inlineStr">
        <is>
          <t>Последнее дело. Между строк, или Группа риска: роман, повесть. Филатов Н.А.</t>
        </is>
      </c>
      <c r="F587" s="13" t="inlineStr">
        <is>
          <t>См.обл.</t>
        </is>
      </c>
      <c r="G587" s="1" t="inlineStr">
        <is>
          <t>Филатов Н.А.</t>
        </is>
      </c>
      <c r="H587" s="1" t="inlineStr">
        <is>
          <t>84х108/32</t>
        </is>
      </c>
      <c r="I587" s="1" t="n">
        <v>367</v>
      </c>
      <c r="J587" s="1" t="inlineStr">
        <is>
          <t>РИПОЛ Классик</t>
        </is>
      </c>
      <c r="K587" s="1" t="inlineStr">
        <is>
          <t>Пальмира</t>
        </is>
      </c>
      <c r="M587" s="1" t="inlineStr">
        <is>
          <t>2019</t>
        </is>
      </c>
      <c r="N587" s="1" t="inlineStr">
        <is>
          <t>П</t>
        </is>
      </c>
      <c r="O587" s="9" t="n">
        <v>8</v>
      </c>
      <c r="P587" s="1">
        <f>ROUNDUP(1089.3*(1-$F$3),2)</f>
        <v/>
      </c>
      <c r="Q587" s="1" t="inlineStr">
        <is>
          <t> </t>
        </is>
      </c>
      <c r="R587" s="1" t="inlineStr">
        <is>
          <t>978-5-386-12405-2</t>
        </is>
      </c>
      <c r="S587" s="1" t="inlineStr">
        <is>
          <t>9785386124052</t>
        </is>
      </c>
      <c r="T587" s="9" t="n">
        <v>10</v>
      </c>
      <c r="U587" s="1">
        <f>ROUNDUP(990.27*(1-$F$3),2)</f>
        <v/>
      </c>
      <c r="V587" s="1" t="n">
        <v>416</v>
      </c>
      <c r="Y587" s="1" t="inlineStr">
        <is>
          <t>Последнее дело. Между строк, или Группа риска: роман, повесть</t>
        </is>
      </c>
      <c r="Z587" s="1" t="inlineStr">
        <is>
          <t>12+</t>
        </is>
      </c>
      <c r="AA587" s="12" t="n">
        <v>43504</v>
      </c>
      <c r="AB587" s="1" t="inlineStr">
        <is>
          <t>Художественная литература</t>
        </is>
      </c>
      <c r="AC587" s="1" t="inlineStr">
        <is>
          <t>Детективы. Боевики. Триллеры</t>
        </is>
      </c>
      <c r="AD587" s="1" t="inlineStr">
        <is>
          <t>Русский детектив</t>
        </is>
      </c>
      <c r="AE587" s="1" t="inlineStr">
        <is>
          <t>офсетная</t>
        </is>
      </c>
      <c r="AG587" s="1" t="n">
        <v>8927920</v>
      </c>
      <c r="AI587" s="1" t="inlineStr">
        <is>
          <t>4901990000</t>
        </is>
      </c>
    </row>
    <row r="588" customFormat="1" s="1">
      <c r="C588" s="1" t="inlineStr">
        <is>
          <t xml:space="preserve">8742100             </t>
        </is>
      </c>
      <c r="D588" s="1" t="inlineStr">
        <is>
          <t>Звери и птицы</t>
        </is>
      </c>
      <c r="E588" s="1" t="inlineStr">
        <is>
          <t xml:space="preserve">Дикие кошки: Повести о животных. </t>
        </is>
      </c>
      <c r="F588" s="13" t="inlineStr">
        <is>
          <t>См.обл.</t>
        </is>
      </c>
      <c r="H588" s="1" t="inlineStr">
        <is>
          <t>84х108/32</t>
        </is>
      </c>
      <c r="I588" s="1" t="n">
        <v>271</v>
      </c>
      <c r="J588" s="1" t="inlineStr">
        <is>
          <t>РИПОЛ Классик</t>
        </is>
      </c>
      <c r="K588" s="1" t="inlineStr">
        <is>
          <t>Пальмира</t>
        </is>
      </c>
      <c r="M588" s="1" t="inlineStr">
        <is>
          <t>2019</t>
        </is>
      </c>
      <c r="N588" s="1" t="inlineStr">
        <is>
          <t>П</t>
        </is>
      </c>
      <c r="O588" s="9" t="n">
        <v>14</v>
      </c>
      <c r="P588" s="1">
        <f>ROUNDUP(1571.5*(1-$F$3),2)</f>
        <v/>
      </c>
      <c r="Q588" s="1" t="inlineStr">
        <is>
          <t> </t>
        </is>
      </c>
      <c r="R588" s="1" t="inlineStr">
        <is>
          <t>978-5-386-12013-9</t>
        </is>
      </c>
      <c r="S588" s="1" t="inlineStr">
        <is>
          <t>9785386120139</t>
        </is>
      </c>
      <c r="T588" s="9" t="n">
        <v>10</v>
      </c>
      <c r="U588" s="1">
        <f>ROUNDUP(1428.64*(1-$F$3),2)</f>
        <v/>
      </c>
      <c r="V588" s="1" t="n">
        <v>389</v>
      </c>
      <c r="Y588" s="1" t="inlineStr">
        <is>
          <t>Дикие кошки: Повести о животных</t>
        </is>
      </c>
      <c r="Z588" s="1" t="inlineStr">
        <is>
          <t>6 +</t>
        </is>
      </c>
      <c r="AA588" s="12" t="n">
        <v>43350</v>
      </c>
      <c r="AB588" s="1" t="inlineStr">
        <is>
          <t>Детская литература</t>
        </is>
      </c>
      <c r="AC588" s="1" t="inlineStr">
        <is>
          <t>Художественная литература</t>
        </is>
      </c>
      <c r="AD588" s="1" t="inlineStr">
        <is>
          <t>Проза. Драматургия</t>
        </is>
      </c>
      <c r="AE588" s="1" t="inlineStr">
        <is>
          <t>офсетная</t>
        </is>
      </c>
      <c r="AG588" s="1" t="n">
        <v>8742100</v>
      </c>
      <c r="AI588" s="1" t="inlineStr">
        <is>
          <t>4901990000</t>
        </is>
      </c>
    </row>
    <row r="589" customFormat="1" s="1">
      <c r="C589" s="1" t="inlineStr">
        <is>
          <t xml:space="preserve">8569550             </t>
        </is>
      </c>
      <c r="D589" s="1" t="inlineStr">
        <is>
          <t>Здоровый образ жизни и долголетие</t>
        </is>
      </c>
      <c r="E589" s="1" t="inlineStr">
        <is>
          <t>Как излечить боли в спине и болезни позвоночника. Лучшие проверенные рецепты. Андреева Е.А.</t>
        </is>
      </c>
      <c r="F589" s="13" t="inlineStr">
        <is>
          <t>См.обл.</t>
        </is>
      </c>
      <c r="G589" s="1" t="inlineStr">
        <is>
          <t>Андреева Е.А.</t>
        </is>
      </c>
      <c r="H589" s="1" t="inlineStr">
        <is>
          <t>84х108/32</t>
        </is>
      </c>
      <c r="I589" s="1" t="n">
        <v>64</v>
      </c>
      <c r="J589" s="1" t="inlineStr">
        <is>
          <t>РИПОЛ Классик</t>
        </is>
      </c>
      <c r="M589" s="1" t="inlineStr">
        <is>
          <t>2018</t>
        </is>
      </c>
      <c r="N589" s="1" t="inlineStr">
        <is>
          <t>О</t>
        </is>
      </c>
      <c r="O589" s="9" t="n">
        <v>80</v>
      </c>
      <c r="P589" s="1">
        <f>ROUNDUP(240*(1-$F$3),2)</f>
        <v/>
      </c>
      <c r="Q589" s="1" t="inlineStr">
        <is>
          <t> </t>
        </is>
      </c>
      <c r="R589" s="1" t="inlineStr">
        <is>
          <t>978-5-386-10721-5</t>
        </is>
      </c>
      <c r="S589" s="1" t="inlineStr">
        <is>
          <t>9785386107215</t>
        </is>
      </c>
      <c r="T589" s="9" t="n">
        <v>10</v>
      </c>
      <c r="U589" s="1">
        <f>ROUNDUP(218.18*(1-$F$3),2)</f>
        <v/>
      </c>
      <c r="V589" s="1" t="n">
        <v>42</v>
      </c>
      <c r="Y589" s="1" t="inlineStr">
        <is>
          <t>Как излечить боли в спине и болезни позвоночника. Лучшие проверенные рецепты</t>
        </is>
      </c>
      <c r="Z589" s="1" t="inlineStr">
        <is>
          <t>12+</t>
        </is>
      </c>
      <c r="AA589" s="12" t="n">
        <v>43201</v>
      </c>
      <c r="AB589" s="1" t="inlineStr">
        <is>
          <t>Медицина</t>
        </is>
      </c>
      <c r="AC589" s="1" t="inlineStr">
        <is>
          <t>Популярная и нетрадиционная медицина</t>
        </is>
      </c>
      <c r="AD589" s="1" t="inlineStr">
        <is>
          <t>Болезни, их профилактика и лечение</t>
        </is>
      </c>
      <c r="AE589" s="1" t="inlineStr">
        <is>
          <t>газетная</t>
        </is>
      </c>
      <c r="AG589" s="1" t="n">
        <v>8569550</v>
      </c>
      <c r="AI589" s="1" t="inlineStr">
        <is>
          <t>4901990000</t>
        </is>
      </c>
    </row>
    <row r="590" customFormat="1" s="1">
      <c r="C590" s="1" t="inlineStr">
        <is>
          <t xml:space="preserve">9610740             </t>
        </is>
      </c>
      <c r="D590" s="1" t="inlineStr">
        <is>
          <t>Здоровье - образ жизни</t>
        </is>
      </c>
      <c r="E590" s="1" t="inlineStr">
        <is>
          <t>Маркеры старения. Смирнов А.В., Кононенко И.</t>
        </is>
      </c>
      <c r="F590" s="13" t="inlineStr">
        <is>
          <t>См.обл.</t>
        </is>
      </c>
      <c r="G590" s="1" t="inlineStr">
        <is>
          <t>Смирнов А.В., Кононенко И.</t>
        </is>
      </c>
      <c r="H590" s="1" t="inlineStr">
        <is>
          <t>60х90/16</t>
        </is>
      </c>
      <c r="I590" s="1" t="n">
        <v>288</v>
      </c>
      <c r="J590" s="1" t="inlineStr">
        <is>
          <t>РИПОЛ Классик</t>
        </is>
      </c>
      <c r="M590" s="1" t="inlineStr">
        <is>
          <t>2026</t>
        </is>
      </c>
      <c r="N590" s="1" t="inlineStr">
        <is>
          <t>П</t>
        </is>
      </c>
      <c r="O590" s="9" t="n">
        <v>10</v>
      </c>
      <c r="P590" s="1">
        <f>ROUNDUP(1040*(1-$F$3),2)</f>
        <v/>
      </c>
      <c r="Q590" s="1" t="inlineStr">
        <is>
          <t> </t>
        </is>
      </c>
      <c r="R590" s="1" t="inlineStr">
        <is>
          <t>978-5-386-13948-3</t>
        </is>
      </c>
      <c r="S590" s="1" t="inlineStr">
        <is>
          <t>9785386139483</t>
        </is>
      </c>
      <c r="T590" s="9" t="n">
        <v>10</v>
      </c>
      <c r="U590" s="1">
        <f>ROUNDUP(945.45*(1-$F$3),2)</f>
        <v/>
      </c>
      <c r="V590" s="1" t="n">
        <v>392</v>
      </c>
      <c r="Y590" s="1" t="inlineStr">
        <is>
          <t>Маркеры старения</t>
        </is>
      </c>
      <c r="Z590" s="1" t="inlineStr">
        <is>
          <t>12+</t>
        </is>
      </c>
      <c r="AA590" s="12" t="n">
        <v>44214</v>
      </c>
      <c r="AB590" s="1" t="inlineStr">
        <is>
          <t>Медицина</t>
        </is>
      </c>
      <c r="AC590" s="1" t="inlineStr">
        <is>
          <t>Популярная и нетрадиционная медицина</t>
        </is>
      </c>
      <c r="AD590" s="1" t="inlineStr">
        <is>
          <t>Целебные свойства продуктов. Оздоровительное питание</t>
        </is>
      </c>
      <c r="AE590" s="1" t="inlineStr">
        <is>
          <t>офсетная</t>
        </is>
      </c>
      <c r="AG590" s="1" t="n">
        <v>9610740</v>
      </c>
      <c r="AI590" s="1" t="inlineStr">
        <is>
          <t>4901990000</t>
        </is>
      </c>
    </row>
    <row r="591" customFormat="1" s="1">
      <c r="C591" s="1" t="inlineStr">
        <is>
          <t xml:space="preserve">8820070             </t>
        </is>
      </c>
      <c r="D591" s="1" t="inlineStr">
        <is>
          <t>Зеркало</t>
        </is>
      </c>
      <c r="E591" s="1" t="inlineStr">
        <is>
          <t>Зеркало воды. Ролдугина С.В., Игнатьев С</t>
        </is>
      </c>
      <c r="F591" s="13" t="inlineStr">
        <is>
          <t>См.обл.</t>
        </is>
      </c>
      <c r="G591" s="1" t="inlineStr">
        <is>
          <t>Ролдугина С.В., Игнатьев С.</t>
        </is>
      </c>
      <c r="H591" s="1" t="inlineStr">
        <is>
          <t>84х108/32</t>
        </is>
      </c>
      <c r="I591" s="1" t="n">
        <v>553</v>
      </c>
      <c r="J591" s="1" t="inlineStr">
        <is>
          <t>РИПОЛ Классик</t>
        </is>
      </c>
      <c r="M591" s="1" t="inlineStr">
        <is>
          <t>2019</t>
        </is>
      </c>
      <c r="N591" s="1" t="inlineStr">
        <is>
          <t>П</t>
        </is>
      </c>
      <c r="O591" s="9" t="n">
        <v>8</v>
      </c>
      <c r="P591" s="1">
        <f>ROUNDUP(1296.9*(1-$F$3),2)</f>
        <v/>
      </c>
      <c r="Q591" s="1" t="inlineStr">
        <is>
          <t> </t>
        </is>
      </c>
      <c r="R591" s="1" t="inlineStr">
        <is>
          <t>978-5-386-12287-4</t>
        </is>
      </c>
      <c r="S591" s="1" t="inlineStr">
        <is>
          <t>9785386122874</t>
        </is>
      </c>
      <c r="T591" s="9" t="n">
        <v>10</v>
      </c>
      <c r="U591" s="1">
        <f>ROUNDUP(1179*(1-$F$3),2)</f>
        <v/>
      </c>
      <c r="V591" s="1" t="n">
        <v>569</v>
      </c>
      <c r="Y591" s="1" t="inlineStr">
        <is>
          <t>Зеркало воды</t>
        </is>
      </c>
      <c r="Z591" s="1" t="inlineStr">
        <is>
          <t>16+</t>
        </is>
      </c>
      <c r="AA591" s="12" t="n">
        <v>43406</v>
      </c>
      <c r="AB591" s="1" t="inlineStr">
        <is>
          <t>Художественная литература</t>
        </is>
      </c>
      <c r="AC591" s="1" t="inlineStr">
        <is>
          <t>Русская литература</t>
        </is>
      </c>
      <c r="AD591" s="1" t="inlineStr">
        <is>
          <t>Современная литература</t>
        </is>
      </c>
      <c r="AE591" s="1" t="inlineStr">
        <is>
          <t>офсетная</t>
        </is>
      </c>
      <c r="AG591" s="1" t="n">
        <v>8820070</v>
      </c>
      <c r="AI591" s="1" t="inlineStr">
        <is>
          <t>4901990000</t>
        </is>
      </c>
    </row>
    <row r="592" customFormat="1" s="1">
      <c r="C592" s="1" t="inlineStr">
        <is>
          <t xml:space="preserve">8669310             </t>
        </is>
      </c>
      <c r="D592" s="1" t="inlineStr">
        <is>
          <t>Зеркало</t>
        </is>
      </c>
      <c r="E592" s="1" t="inlineStr">
        <is>
          <t>Зеркало для героев. Гелприн М., Рэйн О</t>
        </is>
      </c>
      <c r="F592" s="13" t="inlineStr">
        <is>
          <t>См.обл.</t>
        </is>
      </c>
      <c r="G592" s="1" t="inlineStr">
        <is>
          <t>Гелприн М., Рэйн О.</t>
        </is>
      </c>
      <c r="H592" s="1" t="inlineStr">
        <is>
          <t>84х108/32</t>
        </is>
      </c>
      <c r="I592" s="1" t="n">
        <v>616</v>
      </c>
      <c r="J592" s="1" t="inlineStr">
        <is>
          <t>РИПОЛ Классик</t>
        </is>
      </c>
      <c r="M592" s="1" t="inlineStr">
        <is>
          <t>2019</t>
        </is>
      </c>
      <c r="N592" s="1" t="inlineStr">
        <is>
          <t>П</t>
        </is>
      </c>
      <c r="O592" s="9" t="n">
        <v>8</v>
      </c>
      <c r="P592" s="1">
        <f>ROUNDUP(1337.8*(1-$F$3),2)</f>
        <v/>
      </c>
      <c r="Q592" s="1" t="inlineStr">
        <is>
          <t> </t>
        </is>
      </c>
      <c r="R592" s="1" t="inlineStr">
        <is>
          <t>978-5-386-10883-0</t>
        </is>
      </c>
      <c r="S592" s="1" t="inlineStr">
        <is>
          <t>9785386108830</t>
        </is>
      </c>
      <c r="T592" s="9" t="n">
        <v>10</v>
      </c>
      <c r="U592" s="1">
        <f>ROUNDUP(1216.18*(1-$F$3),2)</f>
        <v/>
      </c>
      <c r="V592" s="1" t="n">
        <v>633</v>
      </c>
      <c r="Y592" s="1" t="inlineStr">
        <is>
          <t>Зеркало для героев</t>
        </is>
      </c>
      <c r="Z592" s="1" t="inlineStr">
        <is>
          <t>16+</t>
        </is>
      </c>
      <c r="AA592" s="12" t="n">
        <v>43256</v>
      </c>
      <c r="AB592" s="1" t="inlineStr">
        <is>
          <t>Художественная литература</t>
        </is>
      </c>
      <c r="AC592" s="1" t="inlineStr">
        <is>
          <t>Фантастика. Мистика. Ужасы</t>
        </is>
      </c>
      <c r="AD592" s="1" t="inlineStr">
        <is>
          <t>Русская фантастика</t>
        </is>
      </c>
      <c r="AE592" s="1" t="inlineStr">
        <is>
          <t>офсетная</t>
        </is>
      </c>
      <c r="AG592" s="1" t="n">
        <v>8669310</v>
      </c>
      <c r="AI592" s="1" t="inlineStr">
        <is>
          <t>4901990000</t>
        </is>
      </c>
      <c r="AJ592" s="1" t="inlineStr">
        <is>
          <t>Зпв</t>
        </is>
      </c>
    </row>
    <row r="593" customFormat="1" s="1">
      <c r="C593" s="1" t="inlineStr">
        <is>
          <t xml:space="preserve">8700320             </t>
        </is>
      </c>
      <c r="D593" s="1" t="inlineStr">
        <is>
          <t>Зеркало</t>
        </is>
      </c>
      <c r="E593" s="1" t="inlineStr">
        <is>
          <t>По ту сторону отражений: сборник рассказов. Кн. 2. Кокоулин А.А., Ясинская М.Л.</t>
        </is>
      </c>
      <c r="F593" s="13" t="inlineStr">
        <is>
          <t>См.обл.</t>
        </is>
      </c>
      <c r="G593" s="1" t="inlineStr">
        <is>
          <t>Кокоулин А.А., Ясинская М.Л.</t>
        </is>
      </c>
      <c r="H593" s="1" t="inlineStr">
        <is>
          <t>84х108/32</t>
        </is>
      </c>
      <c r="I593" s="1" t="n">
        <v>600</v>
      </c>
      <c r="J593" s="1" t="inlineStr">
        <is>
          <t>РИПОЛ Классик</t>
        </is>
      </c>
      <c r="M593" s="1" t="inlineStr">
        <is>
          <t>2019</t>
        </is>
      </c>
      <c r="N593" s="1" t="inlineStr">
        <is>
          <t>П</t>
        </is>
      </c>
      <c r="O593" s="9" t="n">
        <v>8</v>
      </c>
      <c r="P593" s="1">
        <f>ROUNDUP(1350*(1-$F$3),2)</f>
        <v/>
      </c>
      <c r="Q593" s="1" t="inlineStr">
        <is>
          <t> </t>
        </is>
      </c>
      <c r="R593" s="1" t="inlineStr">
        <is>
          <t>978-5-386-12082-5</t>
        </is>
      </c>
      <c r="S593" s="1" t="inlineStr">
        <is>
          <t>9785386120825</t>
        </is>
      </c>
      <c r="T593" s="9" t="n">
        <v>10</v>
      </c>
      <c r="U593" s="1">
        <f>ROUNDUP(1227.27*(1-$F$3),2)</f>
        <v/>
      </c>
      <c r="V593" s="1" t="n">
        <v>623</v>
      </c>
      <c r="Y593" s="1" t="inlineStr">
        <is>
          <t>По ту сторону отражений: сборник рассказов. Кн. 2</t>
        </is>
      </c>
      <c r="Z593" s="1" t="inlineStr">
        <is>
          <t>16+</t>
        </is>
      </c>
      <c r="AA593" s="12" t="n">
        <v>43283</v>
      </c>
      <c r="AB593" s="1" t="inlineStr">
        <is>
          <t>Художественная литература</t>
        </is>
      </c>
      <c r="AC593" s="1" t="inlineStr">
        <is>
          <t>Русская литература</t>
        </is>
      </c>
      <c r="AD593" s="1" t="inlineStr">
        <is>
          <t>Современная литература</t>
        </is>
      </c>
      <c r="AE593" s="1" t="inlineStr">
        <is>
          <t>офсетная</t>
        </is>
      </c>
      <c r="AG593" s="1" t="n">
        <v>8700320</v>
      </c>
      <c r="AI593" s="1" t="inlineStr">
        <is>
          <t>4901990000</t>
        </is>
      </c>
    </row>
    <row r="594" customFormat="1" s="1">
      <c r="C594" s="1" t="inlineStr">
        <is>
          <t xml:space="preserve">8872230             </t>
        </is>
      </c>
      <c r="D594" s="1" t="inlineStr">
        <is>
          <t>Зеркало</t>
        </is>
      </c>
      <c r="E594" s="1" t="inlineStr">
        <is>
          <t>Три цвета отражений. Белаш Л., Белаш А., Гелприн М.</t>
        </is>
      </c>
      <c r="F594" s="13" t="inlineStr">
        <is>
          <t>См.обл.</t>
        </is>
      </c>
      <c r="G594" s="1" t="inlineStr">
        <is>
          <t>Белаш Л., Белаш А., Гелприн М.</t>
        </is>
      </c>
      <c r="H594" s="1" t="inlineStr">
        <is>
          <t>84х108/32</t>
        </is>
      </c>
      <c r="I594" s="1" t="n">
        <v>450</v>
      </c>
      <c r="J594" s="1" t="inlineStr">
        <is>
          <t>РИПОЛ Классик</t>
        </is>
      </c>
      <c r="M594" s="1" t="inlineStr">
        <is>
          <t>2019</t>
        </is>
      </c>
      <c r="N594" s="1" t="inlineStr">
        <is>
          <t>П</t>
        </is>
      </c>
      <c r="O594" s="9" t="n">
        <v>10</v>
      </c>
      <c r="P594" s="1">
        <f>ROUNDUP(1320*(1-$F$3),2)</f>
        <v/>
      </c>
      <c r="Q594" s="1" t="inlineStr">
        <is>
          <t> </t>
        </is>
      </c>
      <c r="R594" s="1" t="inlineStr">
        <is>
          <t>978-5-386-13315-3</t>
        </is>
      </c>
      <c r="S594" s="1" t="inlineStr">
        <is>
          <t>9785386133153</t>
        </is>
      </c>
      <c r="T594" s="9" t="n">
        <v>10</v>
      </c>
      <c r="U594" s="1">
        <f>ROUNDUP(1200*(1-$F$3),2)</f>
        <v/>
      </c>
      <c r="V594" s="1" t="n">
        <v>499</v>
      </c>
      <c r="Y594" s="1" t="inlineStr">
        <is>
          <t>Три цвета отражений</t>
        </is>
      </c>
      <c r="Z594" s="1" t="inlineStr">
        <is>
          <t>16+</t>
        </is>
      </c>
      <c r="AA594" s="12" t="n">
        <v>43458</v>
      </c>
      <c r="AB594" s="1" t="inlineStr">
        <is>
          <t>Художественная литература</t>
        </is>
      </c>
      <c r="AC594" s="1" t="inlineStr">
        <is>
          <t>Фантастика. Мистика. Ужасы</t>
        </is>
      </c>
      <c r="AD594" s="1" t="inlineStr">
        <is>
          <t>Русская фантастика</t>
        </is>
      </c>
      <c r="AE594" s="1" t="inlineStr">
        <is>
          <t>офсетная</t>
        </is>
      </c>
      <c r="AG594" s="1" t="n">
        <v>8872230</v>
      </c>
      <c r="AI594" s="1" t="inlineStr">
        <is>
          <t>4901990000</t>
        </is>
      </c>
      <c r="AJ594" s="1" t="inlineStr">
        <is>
          <t>Зпв</t>
        </is>
      </c>
    </row>
    <row r="595" customFormat="1" s="1">
      <c r="C595" s="1" t="inlineStr">
        <is>
          <t xml:space="preserve">8435180             </t>
        </is>
      </c>
      <c r="D595" s="1" t="inlineStr">
        <is>
          <t>Золотая коллекция</t>
        </is>
      </c>
      <c r="E595" s="1" t="inlineStr">
        <is>
          <t xml:space="preserve">ЗК. Кодекс руководителя. В 3 т.: Власть. Финансы. Бизнес. </t>
        </is>
      </c>
      <c r="F595" s="13" t="inlineStr">
        <is>
          <t>См.обл.</t>
        </is>
      </c>
      <c r="H595" s="1" t="inlineStr">
        <is>
          <t>80х92/32</t>
        </is>
      </c>
      <c r="I595" s="1" t="n">
        <v>1920</v>
      </c>
      <c r="J595" s="1" t="inlineStr">
        <is>
          <t>РИПОЛ Классик</t>
        </is>
      </c>
      <c r="M595" s="1" t="inlineStr">
        <is>
          <t>2017</t>
        </is>
      </c>
      <c r="N595" s="1" t="inlineStr">
        <is>
          <t>П</t>
        </is>
      </c>
      <c r="O595" s="9" t="n">
        <v>4</v>
      </c>
      <c r="P595" s="1">
        <f>ROUNDUP(35970.7*(1-$F$3),2)</f>
        <v/>
      </c>
      <c r="Q595" s="1" t="inlineStr">
        <is>
          <t> </t>
        </is>
      </c>
      <c r="R595" s="1" t="inlineStr">
        <is>
          <t>978-5-386-03038-4</t>
        </is>
      </c>
      <c r="S595" s="1" t="inlineStr">
        <is>
          <t>9785386030384</t>
        </is>
      </c>
      <c r="T595" s="9" t="n">
        <v>10</v>
      </c>
      <c r="U595" s="1">
        <f>ROUNDUP(32700.64*(1-$F$3),2)</f>
        <v/>
      </c>
      <c r="V595" s="1" t="n">
        <v>2264</v>
      </c>
      <c r="Y595" s="1" t="inlineStr">
        <is>
          <t>ЗК. Кодекс руководителя. В 3 т.: Власть. Финансы. Бизнес</t>
        </is>
      </c>
      <c r="Z595" s="1" t="inlineStr">
        <is>
          <t>16+</t>
        </is>
      </c>
      <c r="AA595" s="12" t="n">
        <v>43075</v>
      </c>
      <c r="AB595" s="1" t="inlineStr">
        <is>
          <t>Экономика. Экономические науки</t>
        </is>
      </c>
      <c r="AC595" s="1" t="inlineStr">
        <is>
          <t>Бизнес.  Предпринимательство</t>
        </is>
      </c>
      <c r="AD595" s="1" t="inlineStr">
        <is>
          <t>Основы бизнеса</t>
        </is>
      </c>
      <c r="AE595" s="1" t="inlineStr">
        <is>
          <t>офсетная</t>
        </is>
      </c>
      <c r="AG595" s="1" t="n">
        <v>8435180</v>
      </c>
      <c r="AI595" s="1" t="inlineStr">
        <is>
          <t>4901990000</t>
        </is>
      </c>
    </row>
    <row r="596" customFormat="1" s="1">
      <c r="C596" s="1" t="inlineStr">
        <is>
          <t xml:space="preserve">8435200             </t>
        </is>
      </c>
      <c r="D596" s="1" t="inlineStr">
        <is>
          <t>Золотая коллекция</t>
        </is>
      </c>
      <c r="E596" s="1" t="inlineStr">
        <is>
          <t>ЗК. Спецслужбы России за 1000 лет (в футляре). Линдер И.Б., Чуркин С.А.</t>
        </is>
      </c>
      <c r="F596" s="13" t="inlineStr">
        <is>
          <t>См.обл.</t>
        </is>
      </c>
      <c r="G596" s="1" t="inlineStr">
        <is>
          <t>Линдер И.Б., Чуркин С.А.</t>
        </is>
      </c>
      <c r="H596" s="1" t="inlineStr">
        <is>
          <t>60х90/8</t>
        </is>
      </c>
      <c r="I596" s="1" t="n">
        <v>784</v>
      </c>
      <c r="J596" s="1" t="inlineStr">
        <is>
          <t>РИПОЛ Классик</t>
        </is>
      </c>
      <c r="M596" s="1" t="inlineStr">
        <is>
          <t>2017</t>
        </is>
      </c>
      <c r="N596" s="1" t="inlineStr">
        <is>
          <t>П</t>
        </is>
      </c>
      <c r="O596" s="9" t="n">
        <v>4</v>
      </c>
      <c r="P596" s="1">
        <f>ROUNDUP(29041.5*(1-$F$3),2)</f>
        <v/>
      </c>
      <c r="Q596" s="1" t="inlineStr">
        <is>
          <t> </t>
        </is>
      </c>
      <c r="R596" s="1" t="inlineStr">
        <is>
          <t>978-5-386-07924-6</t>
        </is>
      </c>
      <c r="S596" s="1" t="inlineStr">
        <is>
          <t>9785386079246</t>
        </is>
      </c>
      <c r="T596" s="9" t="n">
        <v>10</v>
      </c>
      <c r="U596" s="1">
        <f>ROUNDUP(26401.36*(1-$F$3),2)</f>
        <v/>
      </c>
      <c r="V596" s="1" t="n">
        <v>2507</v>
      </c>
      <c r="Y596" s="1" t="inlineStr">
        <is>
          <t>ЗК. Спецслужбы России за 1000 лет (в футляре)</t>
        </is>
      </c>
      <c r="Z596" s="1" t="inlineStr">
        <is>
          <t>16+</t>
        </is>
      </c>
      <c r="AA596" s="12" t="n">
        <v>43075</v>
      </c>
      <c r="AB596" s="1" t="inlineStr">
        <is>
          <t>Общественные науки</t>
        </is>
      </c>
      <c r="AC596" s="1" t="inlineStr">
        <is>
          <t>Военное дело. Гражданская защита</t>
        </is>
      </c>
      <c r="AD596" s="1" t="inlineStr">
        <is>
          <t>Спецслужбы</t>
        </is>
      </c>
      <c r="AE596" s="1" t="inlineStr">
        <is>
          <t>офсетная</t>
        </is>
      </c>
      <c r="AG596" s="1" t="n">
        <v>8435200</v>
      </c>
      <c r="AI596" s="1" t="inlineStr">
        <is>
          <t>4901990000</t>
        </is>
      </c>
    </row>
    <row r="597" customFormat="1" s="1">
      <c r="C597" s="1" t="inlineStr">
        <is>
          <t xml:space="preserve">8435040             </t>
        </is>
      </c>
      <c r="D597" s="1" t="inlineStr">
        <is>
          <t>Золотая коллекция</t>
        </is>
      </c>
      <c r="E597" s="1" t="inlineStr">
        <is>
          <t>ЗК. Черчилль. Быть лидером. В 2 т (в коробе). Медведев Д.Л.</t>
        </is>
      </c>
      <c r="F597" s="13" t="inlineStr">
        <is>
          <t>См.обл.</t>
        </is>
      </c>
      <c r="G597" s="1" t="inlineStr">
        <is>
          <t>Медведев Д.Л.</t>
        </is>
      </c>
      <c r="H597" s="1" t="inlineStr">
        <is>
          <t>60х88/16</t>
        </is>
      </c>
      <c r="I597" s="1" t="n">
        <v>1200</v>
      </c>
      <c r="J597" s="1" t="inlineStr">
        <is>
          <t>РИПОЛ Классик</t>
        </is>
      </c>
      <c r="M597" s="1" t="inlineStr">
        <is>
          <t>2017</t>
        </is>
      </c>
      <c r="N597" s="1" t="inlineStr">
        <is>
          <t>П</t>
        </is>
      </c>
      <c r="O597" s="9" t="n">
        <v>4</v>
      </c>
      <c r="P597" s="1">
        <f>ROUNDUP(25260*(1-$F$3),2)</f>
        <v/>
      </c>
      <c r="Q597" s="1" t="inlineStr">
        <is>
          <t> </t>
        </is>
      </c>
      <c r="R597" s="1" t="inlineStr">
        <is>
          <t>978-5-386-10102-2</t>
        </is>
      </c>
      <c r="S597" s="1" t="inlineStr">
        <is>
          <t>9785386101022</t>
        </is>
      </c>
      <c r="T597" s="9" t="n">
        <v>10</v>
      </c>
      <c r="U597" s="1">
        <f>ROUNDUP(22963.64*(1-$F$3),2)</f>
        <v/>
      </c>
      <c r="V597" s="1" t="n">
        <v>2157</v>
      </c>
      <c r="Y597" s="1" t="inlineStr">
        <is>
          <t>ЗК. Черчилль. Быть лидером. В 2 т (в коробе)</t>
        </is>
      </c>
      <c r="AA597" s="12" t="n">
        <v>43075</v>
      </c>
      <c r="AB597" s="1" t="inlineStr">
        <is>
          <t>Общественные науки</t>
        </is>
      </c>
      <c r="AC597" s="1" t="inlineStr">
        <is>
          <t>Политика</t>
        </is>
      </c>
      <c r="AD597" s="1" t="inlineStr">
        <is>
          <t>История политической мысли</t>
        </is>
      </c>
      <c r="AE597" s="1" t="inlineStr">
        <is>
          <t>офсетная</t>
        </is>
      </c>
      <c r="AG597" s="1" t="n">
        <v>8435040</v>
      </c>
      <c r="AI597" s="1" t="inlineStr">
        <is>
          <t>4901990000</t>
        </is>
      </c>
    </row>
    <row r="598" customFormat="1" s="1">
      <c r="C598" s="1" t="inlineStr">
        <is>
          <t>10735240</t>
        </is>
      </c>
      <c r="D598" s="1" t="inlineStr">
        <is>
          <t>Золотая коллекция</t>
        </is>
      </c>
      <c r="E598" s="1" t="inlineStr">
        <is>
          <t xml:space="preserve">УЦЕНКА ЗК. Кодекс руководителя. В 3 т.: Власть. Финансы. Бизнес. </t>
        </is>
      </c>
      <c r="F598" s="13" t="inlineStr">
        <is>
          <t>См.обл.</t>
        </is>
      </c>
      <c r="H598" s="1" t="inlineStr">
        <is>
          <t>80х100/32</t>
        </is>
      </c>
      <c r="I598" s="1" t="n">
        <v>1920</v>
      </c>
      <c r="J598" s="1" t="inlineStr">
        <is>
          <t>РИПОЛ Классик</t>
        </is>
      </c>
      <c r="M598" s="1" t="inlineStr">
        <is>
          <t>2017</t>
        </is>
      </c>
      <c r="N598" s="1" t="inlineStr">
        <is>
          <t>П</t>
        </is>
      </c>
      <c r="O598" s="9" t="n">
        <v>4</v>
      </c>
      <c r="P598" s="1">
        <f>ROUNDUP(35970*(1-$F$3),2)</f>
        <v/>
      </c>
      <c r="Q598" s="1" t="inlineStr">
        <is>
          <t> </t>
        </is>
      </c>
      <c r="R598" s="1" t="inlineStr">
        <is>
          <t>978-5-521-18161-2</t>
        </is>
      </c>
      <c r="S598" s="1" t="inlineStr">
        <is>
          <t>9785521181612</t>
        </is>
      </c>
      <c r="T598" s="9" t="n">
        <v>10</v>
      </c>
      <c r="U598" s="1">
        <f>ROUNDUP(32700*(1-$F$3),2)</f>
        <v/>
      </c>
      <c r="V598" s="1" t="n">
        <v>2208</v>
      </c>
      <c r="Y598" s="1" t="inlineStr">
        <is>
          <t>УЦЕНКА ЗК. Кодекс руководителя. В 3 т.: Власть. Финансы. Бизнес</t>
        </is>
      </c>
      <c r="Z598" s="1" t="inlineStr">
        <is>
          <t>16+</t>
        </is>
      </c>
      <c r="AA598" s="12" t="n"/>
      <c r="AB598" s="1" t="inlineStr">
        <is>
          <t>Экономика. Экономические науки</t>
        </is>
      </c>
      <c r="AC598" s="1" t="inlineStr">
        <is>
          <t>Бизнес.  Предпринимательство</t>
        </is>
      </c>
      <c r="AD598" s="1" t="inlineStr">
        <is>
          <t>Основы бизнеса</t>
        </is>
      </c>
      <c r="AE598" s="1" t="inlineStr">
        <is>
          <t>офсетная</t>
        </is>
      </c>
      <c r="AG598" s="1" t="n">
        <v>10735240</v>
      </c>
      <c r="AI598" s="1" t="inlineStr">
        <is>
          <t>4901990000</t>
        </is>
      </c>
    </row>
    <row r="599" customFormat="1" s="1">
      <c r="C599" s="1" t="inlineStr">
        <is>
          <t xml:space="preserve">9184340             </t>
        </is>
      </c>
      <c r="D599" s="1" t="inlineStr">
        <is>
          <t>Золотая коллекция детства</t>
        </is>
      </c>
      <c r="E599" s="1" t="inlineStr">
        <is>
          <t>Исследователь: роман. Ранделл К.</t>
        </is>
      </c>
      <c r="F599" s="13" t="inlineStr">
        <is>
          <t>См.обл.</t>
        </is>
      </c>
      <c r="G599" s="1" t="inlineStr">
        <is>
          <t>Ранделл К.</t>
        </is>
      </c>
      <c r="H599" s="1" t="inlineStr">
        <is>
          <t>60х84/16</t>
        </is>
      </c>
      <c r="I599" s="1" t="n">
        <v>271</v>
      </c>
      <c r="J599" s="1" t="inlineStr">
        <is>
          <t>РИПОЛ Классик</t>
        </is>
      </c>
      <c r="M599" s="1" t="inlineStr">
        <is>
          <t>2019</t>
        </is>
      </c>
      <c r="N599" s="1" t="inlineStr">
        <is>
          <t>П</t>
        </is>
      </c>
      <c r="O599" s="9" t="n">
        <v>10</v>
      </c>
      <c r="P599" s="1">
        <f>ROUNDUP(1120*(1-$F$3),2)</f>
        <v/>
      </c>
      <c r="Q599" s="1" t="inlineStr">
        <is>
          <t> </t>
        </is>
      </c>
      <c r="R599" s="1" t="inlineStr">
        <is>
          <t>978-5-386-13472-3</t>
        </is>
      </c>
      <c r="S599" s="1" t="inlineStr">
        <is>
          <t>9785386134723</t>
        </is>
      </c>
      <c r="T599" s="9" t="n">
        <v>10</v>
      </c>
      <c r="U599" s="1">
        <f>ROUNDUP(1018.18*(1-$F$3),2)</f>
        <v/>
      </c>
      <c r="V599" s="1" t="n">
        <v>444</v>
      </c>
      <c r="Y599" s="1" t="inlineStr">
        <is>
          <t>Исследователь: роман</t>
        </is>
      </c>
      <c r="Z599" s="1" t="inlineStr">
        <is>
          <t>6 +</t>
        </is>
      </c>
      <c r="AA599" s="12" t="n">
        <v>43852</v>
      </c>
      <c r="AB599" s="1" t="inlineStr">
        <is>
          <t>Детская литература</t>
        </is>
      </c>
      <c r="AC599" s="1" t="inlineStr">
        <is>
          <t>Художественная литература</t>
        </is>
      </c>
      <c r="AD599" s="1" t="inlineStr">
        <is>
          <t>Проза. Драматургия</t>
        </is>
      </c>
      <c r="AE599" s="1" t="inlineStr">
        <is>
          <t>офсетная</t>
        </is>
      </c>
      <c r="AG599" s="1" t="n">
        <v>9184340</v>
      </c>
      <c r="AI599" s="1" t="inlineStr">
        <is>
          <t>4901990000</t>
        </is>
      </c>
    </row>
    <row r="600" customFormat="1" s="1">
      <c r="C600" s="1" t="inlineStr">
        <is>
          <t xml:space="preserve">8738950             </t>
        </is>
      </c>
      <c r="D600" s="1" t="inlineStr">
        <is>
          <t>Золотое сечение</t>
        </is>
      </c>
      <c r="E600" s="1" t="inlineStr">
        <is>
          <t>Жизнеописания шести великих мастеров Возрождения. Вазари Дж.</t>
        </is>
      </c>
      <c r="F600" s="13" t="inlineStr">
        <is>
          <t>См.обл.</t>
        </is>
      </c>
      <c r="G600" s="1" t="inlineStr">
        <is>
          <t>Вазари Дж.</t>
        </is>
      </c>
      <c r="H600" s="1" t="inlineStr">
        <is>
          <t>80х100/32</t>
        </is>
      </c>
      <c r="I600" s="1" t="n">
        <v>384</v>
      </c>
      <c r="J600" s="1" t="inlineStr">
        <is>
          <t>РИПОЛ Классик</t>
        </is>
      </c>
      <c r="K600" s="1" t="inlineStr">
        <is>
          <t>Пальмира</t>
        </is>
      </c>
      <c r="M600" s="1" t="inlineStr">
        <is>
          <t>2020</t>
        </is>
      </c>
      <c r="N600" s="1" t="inlineStr">
        <is>
          <t>О</t>
        </is>
      </c>
      <c r="O600" s="9" t="n">
        <v>10</v>
      </c>
      <c r="P600" s="1">
        <f>ROUNDUP(1015.5*(1-$F$3),2)</f>
        <v/>
      </c>
      <c r="Q600" s="1" t="inlineStr">
        <is>
          <t> </t>
        </is>
      </c>
      <c r="R600" s="1" t="inlineStr">
        <is>
          <t>978-5-386-12033-7</t>
        </is>
      </c>
      <c r="S600" s="1" t="inlineStr">
        <is>
          <t>9785386120337</t>
        </is>
      </c>
      <c r="T600" s="9" t="n">
        <v>10</v>
      </c>
      <c r="U600" s="1">
        <f>ROUNDUP(923.18*(1-$F$3),2)</f>
        <v/>
      </c>
      <c r="V600" s="1" t="n">
        <v>288</v>
      </c>
      <c r="Y600" s="1" t="inlineStr">
        <is>
          <t>Жизнеописания шести великих мастеров Возрождения</t>
        </is>
      </c>
      <c r="Z600" s="1" t="inlineStr">
        <is>
          <t>12+</t>
        </is>
      </c>
      <c r="AA600" s="12" t="n">
        <v>43348</v>
      </c>
      <c r="AB600" s="1" t="inlineStr">
        <is>
          <t>Искусство</t>
        </is>
      </c>
      <c r="AC600" s="1" t="inlineStr">
        <is>
          <t>Изобразительное искусство. Архитектура</t>
        </is>
      </c>
      <c r="AD600" s="1" t="inlineStr">
        <is>
          <t>Изобразительное искусство</t>
        </is>
      </c>
      <c r="AE600" s="1" t="inlineStr">
        <is>
          <t>офсетная</t>
        </is>
      </c>
      <c r="AG600" s="1" t="n">
        <v>8738950</v>
      </c>
      <c r="AI600" s="1" t="inlineStr">
        <is>
          <t>4901990000</t>
        </is>
      </c>
    </row>
    <row r="601" customFormat="1" s="1">
      <c r="C601" s="1" t="inlineStr">
        <is>
          <t xml:space="preserve">10043470            </t>
        </is>
      </c>
      <c r="D601" s="1" t="inlineStr">
        <is>
          <t>Изучаю мир</t>
        </is>
      </c>
      <c r="E601" s="1" t="inlineStr">
        <is>
          <t>Фу!. Мазель Р.</t>
        </is>
      </c>
      <c r="F601" s="13" t="inlineStr">
        <is>
          <t>См.обл.</t>
        </is>
      </c>
      <c r="G601" s="1" t="inlineStr">
        <is>
          <t>Мазель Р.</t>
        </is>
      </c>
      <c r="H601" s="1" t="inlineStr">
        <is>
          <t>60х90/8</t>
        </is>
      </c>
      <c r="I601" s="1" t="n">
        <v>56</v>
      </c>
      <c r="J601" s="1" t="inlineStr">
        <is>
          <t>РИПОЛ Классик</t>
        </is>
      </c>
      <c r="M601" s="1" t="inlineStr">
        <is>
          <t>2022</t>
        </is>
      </c>
      <c r="N601" s="1" t="inlineStr">
        <is>
          <t>П</t>
        </is>
      </c>
      <c r="O601" s="9" t="n">
        <v>16</v>
      </c>
      <c r="P601" s="1">
        <f>ROUNDUP(790*(1-$F$3),2)</f>
        <v/>
      </c>
      <c r="Q601" s="1" t="inlineStr">
        <is>
          <t> </t>
        </is>
      </c>
      <c r="R601" s="1" t="inlineStr">
        <is>
          <t>978-5-386-14608-5</t>
        </is>
      </c>
      <c r="S601" s="1" t="inlineStr">
        <is>
          <t>9785386146085</t>
        </is>
      </c>
      <c r="T601" s="9" t="n">
        <v>10</v>
      </c>
      <c r="U601" s="1">
        <f>ROUNDUP(718.18*(1-$F$3),2)</f>
        <v/>
      </c>
      <c r="V601" s="1" t="n">
        <v>361</v>
      </c>
      <c r="Y601" s="1" t="inlineStr">
        <is>
          <t>Фу!</t>
        </is>
      </c>
      <c r="Z601" s="1" t="inlineStr">
        <is>
          <t>0 +</t>
        </is>
      </c>
      <c r="AA601" s="12" t="n">
        <v>44573</v>
      </c>
      <c r="AB601" s="1" t="inlineStr">
        <is>
          <t>Детская литература</t>
        </is>
      </c>
      <c r="AC601" s="1" t="inlineStr">
        <is>
          <t>Обучающая и развивающая литература</t>
        </is>
      </c>
      <c r="AD601" s="1" t="inlineStr">
        <is>
          <t>Знакомство с окружающим миром</t>
        </is>
      </c>
      <c r="AE601" s="1" t="inlineStr">
        <is>
          <t>мелованная</t>
        </is>
      </c>
      <c r="AG601" s="1" t="n">
        <v>10043470</v>
      </c>
      <c r="AI601" s="1" t="inlineStr">
        <is>
          <t>4901990000</t>
        </is>
      </c>
    </row>
    <row r="602" customFormat="1" s="1">
      <c r="C602" s="1" t="inlineStr">
        <is>
          <t xml:space="preserve">12148720            </t>
        </is>
      </c>
      <c r="D602" s="1" t="inlineStr">
        <is>
          <t>Инсомния</t>
        </is>
      </c>
      <c r="E602" s="1" t="inlineStr">
        <is>
          <t>Неодолимая тишина света. Русский хтонический рассказ. Небыков А.А.</t>
        </is>
      </c>
      <c r="F602" s="13" t="inlineStr">
        <is>
          <t>См.обл.</t>
        </is>
      </c>
      <c r="G602" s="1" t="inlineStr">
        <is>
          <t>Небыков А.А.</t>
        </is>
      </c>
      <c r="H602" s="1" t="inlineStr">
        <is>
          <t>60х90/16</t>
        </is>
      </c>
      <c r="I602" s="1" t="n">
        <v>320</v>
      </c>
      <c r="J602" s="1" t="inlineStr">
        <is>
          <t>РИПОЛ Классик</t>
        </is>
      </c>
      <c r="M602" s="1" t="inlineStr">
        <is>
          <t>2026</t>
        </is>
      </c>
      <c r="N602" s="1" t="inlineStr">
        <is>
          <t>П</t>
        </is>
      </c>
      <c r="O602" s="9" t="n">
        <v>10</v>
      </c>
      <c r="P602" s="1">
        <f>ROUNDUP(950*(1-$F$3),2)</f>
        <v/>
      </c>
      <c r="Q602" s="1" t="inlineStr">
        <is>
          <t> </t>
        </is>
      </c>
      <c r="R602" s="1" t="inlineStr">
        <is>
          <t>978-5-386-15585-8</t>
        </is>
      </c>
      <c r="S602" s="1" t="inlineStr">
        <is>
          <t>9785386155858</t>
        </is>
      </c>
      <c r="T602" s="9" t="n">
        <v>10</v>
      </c>
      <c r="U602" s="1">
        <f>ROUNDUP(863.64*(1-$F$3),2)</f>
        <v/>
      </c>
      <c r="V602" s="1" t="n">
        <v>422</v>
      </c>
      <c r="Y602" s="1" t="inlineStr">
        <is>
          <t>Неодолимая тишина света. Русский хтонический рассказ</t>
        </is>
      </c>
      <c r="Z602" s="1" t="inlineStr">
        <is>
          <t>16+</t>
        </is>
      </c>
      <c r="AA602" s="12" t="n">
        <v>46182</v>
      </c>
      <c r="AB602" s="1" t="inlineStr">
        <is>
          <t>Художественная литература</t>
        </is>
      </c>
      <c r="AC602" s="1" t="inlineStr">
        <is>
          <t>Фантастика. Мистика. Ужасы</t>
        </is>
      </c>
      <c r="AD602" s="1" t="inlineStr">
        <is>
          <t>Мистика. Ужасы</t>
        </is>
      </c>
      <c r="AE602" s="1" t="inlineStr">
        <is>
          <t>офсетная</t>
        </is>
      </c>
      <c r="AG602" s="1" t="n">
        <v>12148720</v>
      </c>
      <c r="AI602" s="1" t="inlineStr">
        <is>
          <t>4901990000</t>
        </is>
      </c>
    </row>
    <row r="603" customFormat="1" s="1">
      <c r="C603" s="1" t="inlineStr">
        <is>
          <t xml:space="preserve">12197950            </t>
        </is>
      </c>
      <c r="D603" s="1" t="inlineStr">
        <is>
          <t>Инсомния</t>
        </is>
      </c>
      <c r="E603" s="1" t="inlineStr">
        <is>
          <t>Ночная смена. Подписка на жажду. Рауз А.</t>
        </is>
      </c>
      <c r="F603" s="13" t="inlineStr">
        <is>
          <t>См.обл.</t>
        </is>
      </c>
      <c r="G603" s="1" t="inlineStr">
        <is>
          <t>Рауз А.</t>
        </is>
      </c>
      <c r="H603" s="1" t="inlineStr">
        <is>
          <t>60х90/16</t>
        </is>
      </c>
      <c r="I603" s="1" t="n">
        <v>304</v>
      </c>
      <c r="J603" s="1" t="inlineStr">
        <is>
          <t>РИПОЛ Классик</t>
        </is>
      </c>
      <c r="M603" s="1" t="inlineStr">
        <is>
          <t>2026</t>
        </is>
      </c>
      <c r="N603" s="1" t="inlineStr">
        <is>
          <t>П</t>
        </is>
      </c>
      <c r="O603" s="9" t="n">
        <v>12</v>
      </c>
      <c r="P603" s="1">
        <f>ROUNDUP(990*(1-$F$3),2)</f>
        <v/>
      </c>
      <c r="Q603" s="1" t="inlineStr">
        <is>
          <t> </t>
        </is>
      </c>
      <c r="R603" s="1" t="inlineStr">
        <is>
          <t>978-5-386-15626-8</t>
        </is>
      </c>
      <c r="S603" s="1" t="inlineStr">
        <is>
          <t>9785386156268</t>
        </is>
      </c>
      <c r="T603" s="9" t="n">
        <v>22</v>
      </c>
      <c r="U603" s="1">
        <f>ROUNDUP(811.48*(1-$F$3),2)</f>
        <v/>
      </c>
      <c r="V603" s="1" t="n">
        <v>402</v>
      </c>
      <c r="Y603" s="1" t="inlineStr">
        <is>
          <t>Ночная смена. Подписка на жажду</t>
        </is>
      </c>
      <c r="Z603" s="1" t="inlineStr">
        <is>
          <t>18+</t>
        </is>
      </c>
      <c r="AA603" s="12" t="n">
        <v>46209</v>
      </c>
      <c r="AB603" s="1" t="inlineStr">
        <is>
          <t>Художественная литература</t>
        </is>
      </c>
      <c r="AC603" s="1" t="inlineStr">
        <is>
          <t>Фантастика. Мистика. Ужасы</t>
        </is>
      </c>
      <c r="AD603" s="1" t="inlineStr">
        <is>
          <t>Фэнтези</t>
        </is>
      </c>
      <c r="AE603" s="1" t="inlineStr">
        <is>
          <t>офсетная</t>
        </is>
      </c>
      <c r="AG603" s="1" t="n">
        <v>12197950</v>
      </c>
      <c r="AI603" s="1" t="inlineStr">
        <is>
          <t>4901990000</t>
        </is>
      </c>
    </row>
    <row r="604" customFormat="1" s="1">
      <c r="C604" s="1" t="inlineStr">
        <is>
          <t xml:space="preserve">12071120            </t>
        </is>
      </c>
      <c r="D604" s="1" t="inlineStr">
        <is>
          <t>Инсомния</t>
        </is>
      </c>
      <c r="E604" s="1" t="inlineStr">
        <is>
          <t>Омут. Кровавое наследие Грайфов. Брайт К.</t>
        </is>
      </c>
      <c r="F604" s="13" t="inlineStr">
        <is>
          <t>См.обл.</t>
        </is>
      </c>
      <c r="G604" s="1" t="inlineStr">
        <is>
          <t>Брайт К.</t>
        </is>
      </c>
      <c r="H604" s="1" t="inlineStr">
        <is>
          <t>60х90/16</t>
        </is>
      </c>
      <c r="I604" s="1" t="n">
        <v>304</v>
      </c>
      <c r="J604" s="1" t="inlineStr">
        <is>
          <t>РИПОЛ Классик</t>
        </is>
      </c>
      <c r="M604" s="1" t="inlineStr">
        <is>
          <t>2026</t>
        </is>
      </c>
      <c r="N604" s="1" t="inlineStr">
        <is>
          <t>П</t>
        </is>
      </c>
      <c r="O604" s="9" t="n">
        <v>12</v>
      </c>
      <c r="P604" s="1">
        <f>ROUNDUP(980*(1-$F$3),2)</f>
        <v/>
      </c>
      <c r="Q604" s="1" t="inlineStr">
        <is>
          <t> </t>
        </is>
      </c>
      <c r="R604" s="1" t="inlineStr">
        <is>
          <t>978-5-386-15555-1</t>
        </is>
      </c>
      <c r="S604" s="1" t="inlineStr">
        <is>
          <t>9785386155551</t>
        </is>
      </c>
      <c r="T604" s="9" t="n">
        <v>10</v>
      </c>
      <c r="U604" s="1">
        <f>ROUNDUP(890.91*(1-$F$3),2)</f>
        <v/>
      </c>
      <c r="V604" s="1" t="n">
        <v>388</v>
      </c>
      <c r="Y604" s="1" t="inlineStr">
        <is>
          <t>Омут. Кровавое наследие Грайфов</t>
        </is>
      </c>
      <c r="Z604" s="1" t="inlineStr">
        <is>
          <t>16+</t>
        </is>
      </c>
      <c r="AA604" s="12" t="n">
        <v>46131</v>
      </c>
      <c r="AB604" s="1" t="inlineStr">
        <is>
          <t>Художественная литература</t>
        </is>
      </c>
      <c r="AC604" s="1" t="inlineStr">
        <is>
          <t>Детективы. Боевики. Триллеры</t>
        </is>
      </c>
      <c r="AD604" s="1" t="inlineStr">
        <is>
          <t>Русский детектив</t>
        </is>
      </c>
      <c r="AE604" s="1" t="inlineStr">
        <is>
          <t>офсетная</t>
        </is>
      </c>
      <c r="AG604" s="1" t="n">
        <v>12071120</v>
      </c>
      <c r="AI604" s="1" t="inlineStr">
        <is>
          <t>4901990000</t>
        </is>
      </c>
    </row>
    <row r="605" customFormat="1" s="1">
      <c r="C605" s="1" t="inlineStr">
        <is>
          <t xml:space="preserve">12076150            </t>
        </is>
      </c>
      <c r="D605" s="1" t="inlineStr">
        <is>
          <t>Инсомния</t>
        </is>
      </c>
      <c r="E605" s="1" t="inlineStr">
        <is>
          <t>Тот, кто убивает. Локоть С.</t>
        </is>
      </c>
      <c r="F605" s="13" t="inlineStr">
        <is>
          <t>См.обл.</t>
        </is>
      </c>
      <c r="G605" s="1" t="inlineStr">
        <is>
          <t>Локоть С.</t>
        </is>
      </c>
      <c r="H605" s="1" t="inlineStr">
        <is>
          <t>60х90/16</t>
        </is>
      </c>
      <c r="I605" s="1" t="n">
        <v>256</v>
      </c>
      <c r="J605" s="1" t="inlineStr">
        <is>
          <t>РИПОЛ Классик</t>
        </is>
      </c>
      <c r="M605" s="1" t="inlineStr">
        <is>
          <t>2026</t>
        </is>
      </c>
      <c r="N605" s="1" t="inlineStr">
        <is>
          <t>П</t>
        </is>
      </c>
      <c r="O605" s="9" t="n">
        <v>10</v>
      </c>
      <c r="P605" s="1">
        <f>ROUNDUP(890*(1-$F$3),2)</f>
        <v/>
      </c>
      <c r="Q605" s="1" t="inlineStr">
        <is>
          <t> </t>
        </is>
      </c>
      <c r="R605" s="1" t="inlineStr">
        <is>
          <t>978-5-386-15572-8</t>
        </is>
      </c>
      <c r="S605" s="1" t="inlineStr">
        <is>
          <t>9785386155728</t>
        </is>
      </c>
      <c r="T605" s="9" t="n">
        <v>22</v>
      </c>
      <c r="U605" s="1">
        <f>ROUNDUP(729.51*(1-$F$3),2)</f>
        <v/>
      </c>
      <c r="V605" s="1" t="n">
        <v>349</v>
      </c>
      <c r="Y605" s="1" t="inlineStr">
        <is>
          <t>Тот, кто убивает</t>
        </is>
      </c>
      <c r="Z605" s="1" t="inlineStr">
        <is>
          <t>18+</t>
        </is>
      </c>
      <c r="AA605" s="12" t="n">
        <v>46132</v>
      </c>
      <c r="AB605" s="1" t="inlineStr">
        <is>
          <t>Художественная литература</t>
        </is>
      </c>
      <c r="AC605" s="1" t="inlineStr">
        <is>
          <t>Детективы. Боевики. Триллеры</t>
        </is>
      </c>
      <c r="AD605" s="1" t="inlineStr">
        <is>
          <t>Триллеры</t>
        </is>
      </c>
      <c r="AE605" s="1" t="inlineStr">
        <is>
          <t>офсетная</t>
        </is>
      </c>
      <c r="AG605" s="1" t="n">
        <v>12076150</v>
      </c>
      <c r="AI605" s="1" t="inlineStr">
        <is>
          <t>4901990000</t>
        </is>
      </c>
    </row>
    <row r="606" customFormat="1" s="1">
      <c r="C606" s="1" t="inlineStr">
        <is>
          <t xml:space="preserve">12068360            </t>
        </is>
      </c>
      <c r="D606" s="1" t="inlineStr">
        <is>
          <t>Инсомния</t>
        </is>
      </c>
      <c r="E606" s="1" t="inlineStr">
        <is>
          <t>Травяное гнездо. Полесная Н</t>
        </is>
      </c>
      <c r="F606" s="13" t="inlineStr">
        <is>
          <t>См.обл.</t>
        </is>
      </c>
      <c r="G606" s="1" t="inlineStr">
        <is>
          <t>Полесная Н</t>
        </is>
      </c>
      <c r="H606" s="1" t="inlineStr">
        <is>
          <t>60х90/16</t>
        </is>
      </c>
      <c r="I606" s="1" t="n">
        <v>352</v>
      </c>
      <c r="J606" s="1" t="inlineStr">
        <is>
          <t>РИПОЛ Классик</t>
        </is>
      </c>
      <c r="M606" s="1" t="inlineStr">
        <is>
          <t>2026</t>
        </is>
      </c>
      <c r="N606" s="1" t="inlineStr">
        <is>
          <t>П</t>
        </is>
      </c>
      <c r="O606" s="9" t="n">
        <v>10</v>
      </c>
      <c r="P606" s="1">
        <f>ROUNDUP(980*(1-$F$3),2)</f>
        <v/>
      </c>
      <c r="Q606" s="1" t="inlineStr">
        <is>
          <t> </t>
        </is>
      </c>
      <c r="R606" s="1" t="inlineStr">
        <is>
          <t>978-5-386-15534-6</t>
        </is>
      </c>
      <c r="S606" s="1" t="inlineStr">
        <is>
          <t>9785386155346</t>
        </is>
      </c>
      <c r="T606" s="9" t="n">
        <v>10</v>
      </c>
      <c r="U606" s="1">
        <f>ROUNDUP(890.91*(1-$F$3),2)</f>
        <v/>
      </c>
      <c r="V606" s="1" t="n">
        <v>446</v>
      </c>
      <c r="Y606" s="1" t="inlineStr">
        <is>
          <t>Травяное гнездо</t>
        </is>
      </c>
      <c r="Z606" s="1" t="inlineStr">
        <is>
          <t>16+</t>
        </is>
      </c>
      <c r="AA606" s="12" t="n">
        <v>46105</v>
      </c>
      <c r="AB606" s="1" t="inlineStr">
        <is>
          <t>Художественная литература</t>
        </is>
      </c>
      <c r="AC606" s="1" t="inlineStr">
        <is>
          <t>Фантастика. Мистика. Ужасы</t>
        </is>
      </c>
      <c r="AD606" s="1" t="inlineStr">
        <is>
          <t>Фэнтези</t>
        </is>
      </c>
      <c r="AE606" s="1" t="inlineStr">
        <is>
          <t>офсетная</t>
        </is>
      </c>
      <c r="AG606" s="1" t="n">
        <v>12068360</v>
      </c>
      <c r="AI606" s="1" t="inlineStr">
        <is>
          <t>4901990000</t>
        </is>
      </c>
    </row>
    <row r="607" customFormat="1" s="11">
      <c r="A607" s="11" t="inlineStr">
        <is>
          <t>нов</t>
        </is>
      </c>
      <c r="C607" s="11" t="inlineStr">
        <is>
          <t xml:space="preserve">12256980            </t>
        </is>
      </c>
      <c r="D607" s="11" t="inlineStr">
        <is>
          <t>Инсомния</t>
        </is>
      </c>
      <c r="E607" s="11" t="inlineStr">
        <is>
          <t>Чигенитра. Кто позвал их в ущелье?. Диченко Ж.</t>
        </is>
      </c>
      <c r="F607" s="14" t="inlineStr">
        <is>
          <t>См.обл.</t>
        </is>
      </c>
      <c r="G607" s="11" t="inlineStr">
        <is>
          <t>Диченко Ж.</t>
        </is>
      </c>
      <c r="H607" s="11" t="inlineStr">
        <is>
          <t>60х90/16</t>
        </is>
      </c>
      <c r="I607" s="11" t="n">
        <v>320</v>
      </c>
      <c r="J607" s="11" t="inlineStr">
        <is>
          <t>РИПОЛ Классик</t>
        </is>
      </c>
      <c r="M607" s="11" t="inlineStr">
        <is>
          <t>2026</t>
        </is>
      </c>
      <c r="N607" s="11" t="inlineStr">
        <is>
          <t>П</t>
        </is>
      </c>
      <c r="O607" s="26" t="n">
        <v>12</v>
      </c>
      <c r="P607" s="11">
        <f>ROUNDUP(950*(1-$F$3),2)</f>
        <v/>
      </c>
      <c r="Q607" s="11" t="inlineStr">
        <is>
          <t> </t>
        </is>
      </c>
      <c r="R607" s="11" t="inlineStr">
        <is>
          <t>978-5-386-15666-4</t>
        </is>
      </c>
      <c r="S607" s="11" t="inlineStr">
        <is>
          <t>9785386156664</t>
        </is>
      </c>
      <c r="T607" s="26" t="n">
        <v>10</v>
      </c>
      <c r="U607" s="11">
        <f>ROUNDUP(863.64*(1-$F$3),2)</f>
        <v/>
      </c>
      <c r="V607" s="11" t="n">
        <v>415</v>
      </c>
      <c r="Y607" s="11" t="inlineStr">
        <is>
          <t>Чигенитра. Кто позвал их в ущелье?</t>
        </is>
      </c>
      <c r="Z607" s="11" t="inlineStr">
        <is>
          <t>16+</t>
        </is>
      </c>
      <c r="AA607" s="15" t="n">
        <v>46268</v>
      </c>
      <c r="AB607" s="11" t="inlineStr">
        <is>
          <t>Художественная литература</t>
        </is>
      </c>
      <c r="AC607" s="11" t="inlineStr">
        <is>
          <t>Детективы. Боевики. Триллеры</t>
        </is>
      </c>
      <c r="AD607" s="11" t="inlineStr">
        <is>
          <t>Триллеры</t>
        </is>
      </c>
      <c r="AE607" s="11" t="inlineStr">
        <is>
          <t>офсетная</t>
        </is>
      </c>
      <c r="AG607" s="11" t="n">
        <v>12256980</v>
      </c>
      <c r="AI607" s="11" t="inlineStr">
        <is>
          <t>4901990000</t>
        </is>
      </c>
    </row>
    <row r="608" customFormat="1" s="1">
      <c r="C608" s="1" t="inlineStr">
        <is>
          <t xml:space="preserve">8926020             </t>
        </is>
      </c>
      <c r="D608" s="1" t="inlineStr">
        <is>
          <t>Инспектор Логан Макрэй</t>
        </is>
      </c>
      <c r="E608" s="1" t="inlineStr">
        <is>
          <t>Ледяной дождь: роман. Макбрайд С.</t>
        </is>
      </c>
      <c r="F608" s="13" t="inlineStr">
        <is>
          <t>См.обл.</t>
        </is>
      </c>
      <c r="G608" s="1" t="inlineStr">
        <is>
          <t>Макбрайд С.</t>
        </is>
      </c>
      <c r="H608" s="1" t="inlineStr">
        <is>
          <t>60х90/16</t>
        </is>
      </c>
      <c r="I608" s="1" t="n">
        <v>479</v>
      </c>
      <c r="J608" s="1" t="inlineStr">
        <is>
          <t>РИПОЛ Классик</t>
        </is>
      </c>
      <c r="K608" s="1" t="inlineStr">
        <is>
          <t>Пальмира</t>
        </is>
      </c>
      <c r="M608" s="1" t="inlineStr">
        <is>
          <t>2019</t>
        </is>
      </c>
      <c r="N608" s="1" t="inlineStr">
        <is>
          <t>П</t>
        </is>
      </c>
      <c r="O608" s="9" t="n">
        <v>10</v>
      </c>
      <c r="P608" s="1">
        <f>ROUNDUP(1200*(1-$F$3),2)</f>
        <v/>
      </c>
      <c r="Q608" s="1" t="inlineStr">
        <is>
          <t> </t>
        </is>
      </c>
      <c r="R608" s="1" t="inlineStr">
        <is>
          <t>978-5-386-10804-5</t>
        </is>
      </c>
      <c r="S608" s="1" t="inlineStr">
        <is>
          <t>9785386108045</t>
        </is>
      </c>
      <c r="T608" s="9" t="n">
        <v>10</v>
      </c>
      <c r="U608" s="1">
        <f>ROUNDUP(1090.91*(1-$F$3),2)</f>
        <v/>
      </c>
      <c r="V608" s="1" t="n">
        <v>582</v>
      </c>
      <c r="Y608" s="1" t="inlineStr">
        <is>
          <t>Ледяной дождь: роман</t>
        </is>
      </c>
      <c r="Z608" s="1" t="inlineStr">
        <is>
          <t>18+</t>
        </is>
      </c>
      <c r="AA608" s="12" t="n">
        <v>43502</v>
      </c>
      <c r="AB608" s="1" t="inlineStr">
        <is>
          <t>Художественная литература</t>
        </is>
      </c>
      <c r="AC608" s="1" t="inlineStr">
        <is>
          <t>Детективы. Боевики. Триллеры</t>
        </is>
      </c>
      <c r="AD608" s="1" t="inlineStr">
        <is>
          <t>Зарубежный детектив</t>
        </is>
      </c>
      <c r="AE608" s="1" t="inlineStr">
        <is>
          <t>офсетная</t>
        </is>
      </c>
      <c r="AG608" s="1" t="n">
        <v>8926020</v>
      </c>
      <c r="AI608" s="1" t="inlineStr">
        <is>
          <t>4901990000</t>
        </is>
      </c>
      <c r="AJ608" s="1" t="inlineStr">
        <is>
          <t>Зпв</t>
        </is>
      </c>
    </row>
    <row r="609" customFormat="1" s="1">
      <c r="C609" s="1" t="inlineStr">
        <is>
          <t xml:space="preserve">8859270             </t>
        </is>
      </c>
      <c r="D609" s="1" t="inlineStr">
        <is>
          <t>Интеллектуальный бестселлер</t>
        </is>
      </c>
      <c r="E609" s="1" t="inlineStr">
        <is>
          <t>КУНЦЕЛЬманн  кунцельМАНН. Вальгрен К.-Й</t>
        </is>
      </c>
      <c r="F609" s="13" t="inlineStr">
        <is>
          <t>См.обл.</t>
        </is>
      </c>
      <c r="G609" s="1" t="inlineStr">
        <is>
          <t>Вальгрен К.-Й</t>
        </is>
      </c>
      <c r="H609" s="1" t="inlineStr">
        <is>
          <t>60х90/16</t>
        </is>
      </c>
      <c r="I609" s="1" t="n">
        <v>623</v>
      </c>
      <c r="J609" s="1" t="inlineStr">
        <is>
          <t>РИПОЛ Классик</t>
        </is>
      </c>
      <c r="K609" s="1" t="inlineStr">
        <is>
          <t>Пальмира</t>
        </is>
      </c>
      <c r="M609" s="1" t="inlineStr">
        <is>
          <t>2019</t>
        </is>
      </c>
      <c r="N609" s="1" t="inlineStr">
        <is>
          <t>П</t>
        </is>
      </c>
      <c r="O609" s="9" t="n">
        <v>8</v>
      </c>
      <c r="P609" s="1">
        <f>ROUNDUP(1530*(1-$F$3),2)</f>
        <v/>
      </c>
      <c r="Q609" s="1" t="inlineStr">
        <is>
          <t> </t>
        </is>
      </c>
      <c r="R609" s="1" t="inlineStr">
        <is>
          <t>978-5-386-12330-7</t>
        </is>
      </c>
      <c r="S609" s="1" t="inlineStr">
        <is>
          <t>9785386123307</t>
        </is>
      </c>
      <c r="T609" s="9" t="n">
        <v>22</v>
      </c>
      <c r="U609" s="1">
        <f>ROUNDUP(1254.1*(1-$F$3),2)</f>
        <v/>
      </c>
      <c r="V609" s="1" t="n">
        <v>767</v>
      </c>
      <c r="Y609" s="1" t="inlineStr">
        <is>
          <t>КУНЦЕЛЬманн  кунцельМАНН</t>
        </is>
      </c>
      <c r="Z609" s="1" t="inlineStr">
        <is>
          <t>18+</t>
        </is>
      </c>
      <c r="AA609" s="12" t="n">
        <v>43437</v>
      </c>
      <c r="AB609" s="1" t="inlineStr">
        <is>
          <t>Художественная литература</t>
        </is>
      </c>
      <c r="AC609" s="1" t="inlineStr">
        <is>
          <t>Зарубежная литература</t>
        </is>
      </c>
      <c r="AD609" s="1" t="inlineStr">
        <is>
          <t>Европейская литература</t>
        </is>
      </c>
      <c r="AE609" s="1" t="inlineStr">
        <is>
          <t>офсетная</t>
        </is>
      </c>
      <c r="AG609" s="1" t="n">
        <v>8859270</v>
      </c>
      <c r="AI609" s="1" t="inlineStr">
        <is>
          <t>4901990000</t>
        </is>
      </c>
    </row>
    <row r="610" customFormat="1" s="1">
      <c r="C610" s="1" t="inlineStr">
        <is>
          <t xml:space="preserve">7452810             </t>
        </is>
      </c>
      <c r="D610" s="1" t="inlineStr">
        <is>
          <t>Интеллектуальный бестселлер</t>
        </is>
      </c>
      <c r="E610" s="1" t="inlineStr">
        <is>
          <t>Черчилль. Биография. Оратор. Историк. Публицист. Амбициозное начало 1874-1929. Медведев Д.Л.</t>
        </is>
      </c>
      <c r="F610" s="13" t="inlineStr">
        <is>
          <t>См.обл.</t>
        </is>
      </c>
      <c r="G610" s="1" t="inlineStr">
        <is>
          <t>Медведев Д.Л.</t>
        </is>
      </c>
      <c r="H610" s="1" t="inlineStr">
        <is>
          <t>60х90/16</t>
        </is>
      </c>
      <c r="I610" s="1" t="n">
        <v>880</v>
      </c>
      <c r="J610" s="1" t="inlineStr">
        <is>
          <t>РИПОЛ Классик</t>
        </is>
      </c>
      <c r="M610" s="1" t="inlineStr">
        <is>
          <t>2019</t>
        </is>
      </c>
      <c r="N610" s="1" t="inlineStr">
        <is>
          <t>П</t>
        </is>
      </c>
      <c r="O610" s="9" t="n">
        <v>6</v>
      </c>
      <c r="P610" s="1">
        <f>ROUNDUP(3020*(1-$F$3),2)</f>
        <v/>
      </c>
      <c r="Q610" s="1" t="inlineStr">
        <is>
          <t> </t>
        </is>
      </c>
      <c r="R610" s="1" t="inlineStr">
        <is>
          <t>978-5-386-08941-2</t>
        </is>
      </c>
      <c r="S610" s="1" t="inlineStr">
        <is>
          <t>9785386089412</t>
        </is>
      </c>
      <c r="T610" s="9" t="n">
        <v>10</v>
      </c>
      <c r="U610" s="1">
        <f>ROUNDUP(2745.45*(1-$F$3),2)</f>
        <v/>
      </c>
      <c r="V610" s="1" t="n">
        <v>1017</v>
      </c>
      <c r="Y610" s="1" t="inlineStr">
        <is>
          <t>Черчилль. Биография. Оратор. Историк. Публицист. Амбициозное начало 1874-1929</t>
        </is>
      </c>
      <c r="Z610" s="1" t="inlineStr">
        <is>
          <t>16+</t>
        </is>
      </c>
      <c r="AA610" s="12" t="n">
        <v>42429</v>
      </c>
      <c r="AB610" s="1" t="inlineStr">
        <is>
          <t>Художественно-документальная проза</t>
        </is>
      </c>
      <c r="AC610" s="1" t="inlineStr">
        <is>
          <t>Биографии. Мемуары</t>
        </is>
      </c>
      <c r="AD610" s="1" t="inlineStr">
        <is>
          <t>Биографии общественных и исторических деятелей</t>
        </is>
      </c>
      <c r="AE610" s="1" t="inlineStr">
        <is>
          <t>офсетная</t>
        </is>
      </c>
      <c r="AG610" s="1" t="n">
        <v>7452810</v>
      </c>
      <c r="AI610" s="1" t="inlineStr">
        <is>
          <t>4901990000</t>
        </is>
      </c>
    </row>
    <row r="611" customFormat="1" s="1">
      <c r="C611" s="1" t="inlineStr">
        <is>
          <t xml:space="preserve">8920840             </t>
        </is>
      </c>
      <c r="D611" s="1" t="inlineStr">
        <is>
          <t>Интеллектуальный бестселлер</t>
        </is>
      </c>
      <c r="E611" s="1" t="inlineStr">
        <is>
          <t>Шведский синдром. Вальгрен К.-Й</t>
        </is>
      </c>
      <c r="F611" s="13" t="inlineStr">
        <is>
          <t>См.обл.</t>
        </is>
      </c>
      <c r="G611" s="1" t="inlineStr">
        <is>
          <t>Вальгрен К.-Й</t>
        </is>
      </c>
      <c r="H611" s="1" t="inlineStr">
        <is>
          <t>60х90/16</t>
        </is>
      </c>
      <c r="I611" s="1" t="n">
        <v>287</v>
      </c>
      <c r="J611" s="1" t="inlineStr">
        <is>
          <t>РИПОЛ Классик</t>
        </is>
      </c>
      <c r="K611" s="1" t="inlineStr">
        <is>
          <t>Пальмира</t>
        </is>
      </c>
      <c r="M611" s="1" t="inlineStr">
        <is>
          <t>2019</t>
        </is>
      </c>
      <c r="N611" s="1" t="inlineStr">
        <is>
          <t>П</t>
        </is>
      </c>
      <c r="O611" s="9" t="n">
        <v>14</v>
      </c>
      <c r="P611" s="1">
        <f>ROUNDUP(1015.6*(1-$F$3),2)</f>
        <v/>
      </c>
      <c r="Q611" s="1" t="inlineStr">
        <is>
          <t> </t>
        </is>
      </c>
      <c r="R611" s="1" t="inlineStr">
        <is>
          <t>978-5-386-12403-8</t>
        </is>
      </c>
      <c r="S611" s="1" t="inlineStr">
        <is>
          <t>9785386124038</t>
        </is>
      </c>
      <c r="T611" s="9" t="n">
        <v>10</v>
      </c>
      <c r="U611" s="1">
        <f>ROUNDUP(923.27*(1-$F$3),2)</f>
        <v/>
      </c>
      <c r="V611" s="1" t="n">
        <v>411</v>
      </c>
      <c r="Y611" s="1" t="inlineStr">
        <is>
          <t>Шведский синдром</t>
        </is>
      </c>
      <c r="Z611" s="1" t="inlineStr">
        <is>
          <t>16+</t>
        </is>
      </c>
      <c r="AA611" s="12" t="n">
        <v>43495</v>
      </c>
      <c r="AB611" s="1" t="inlineStr">
        <is>
          <t>Художественная литература</t>
        </is>
      </c>
      <c r="AC611" s="1" t="inlineStr">
        <is>
          <t>Зарубежная литература</t>
        </is>
      </c>
      <c r="AD611" s="1" t="inlineStr">
        <is>
          <t>Европейская литература</t>
        </is>
      </c>
      <c r="AE611" s="1" t="inlineStr">
        <is>
          <t>офсетная</t>
        </is>
      </c>
      <c r="AG611" s="1" t="n">
        <v>8920840</v>
      </c>
      <c r="AI611" s="1" t="inlineStr">
        <is>
          <t>4901990000</t>
        </is>
      </c>
    </row>
    <row r="612" customFormat="1" s="1">
      <c r="C612" s="1" t="inlineStr">
        <is>
          <t xml:space="preserve">9730430             </t>
        </is>
      </c>
      <c r="D612" s="1" t="inlineStr">
        <is>
          <t>Ирада Берг - чтения со смыслом</t>
        </is>
      </c>
      <c r="E612" s="1" t="inlineStr">
        <is>
          <t>Contione - встреча. Берг И.</t>
        </is>
      </c>
      <c r="F612" s="13" t="inlineStr">
        <is>
          <t>См.обл.</t>
        </is>
      </c>
      <c r="G612" s="1" t="inlineStr">
        <is>
          <t>Берг И.</t>
        </is>
      </c>
      <c r="H612" s="1" t="inlineStr">
        <is>
          <t>84х108/32</t>
        </is>
      </c>
      <c r="I612" s="1" t="n">
        <v>256</v>
      </c>
      <c r="J612" s="1" t="inlineStr">
        <is>
          <t>РИПОЛ Классик</t>
        </is>
      </c>
      <c r="M612" s="1" t="inlineStr">
        <is>
          <t>2025</t>
        </is>
      </c>
      <c r="N612" s="1" t="inlineStr">
        <is>
          <t>П</t>
        </is>
      </c>
      <c r="O612" s="9" t="n">
        <v>5</v>
      </c>
      <c r="P612" s="1">
        <f>ROUNDUP(1000*(1-$F$3),2)</f>
        <v/>
      </c>
      <c r="Q612" s="1" t="inlineStr">
        <is>
          <t> </t>
        </is>
      </c>
      <c r="R612" s="1" t="inlineStr">
        <is>
          <t>978-5-386-14367-1</t>
        </is>
      </c>
      <c r="S612" s="1" t="inlineStr">
        <is>
          <t>9785386143671</t>
        </is>
      </c>
      <c r="T612" s="9" t="n">
        <v>10</v>
      </c>
      <c r="U612" s="1">
        <f>ROUNDUP(909.09*(1-$F$3),2)</f>
        <v/>
      </c>
      <c r="V612" s="1" t="n">
        <v>313</v>
      </c>
      <c r="Y612" s="1" t="inlineStr">
        <is>
          <t>Contione - встреча</t>
        </is>
      </c>
      <c r="Z612" s="1" t="inlineStr">
        <is>
          <t>16+</t>
        </is>
      </c>
      <c r="AA612" s="12" t="n">
        <v>44347</v>
      </c>
      <c r="AB612" s="1" t="inlineStr">
        <is>
          <t>Художественная литература</t>
        </is>
      </c>
      <c r="AC612" s="1" t="inlineStr">
        <is>
          <t>Сентиментальная проза</t>
        </is>
      </c>
      <c r="AD612" s="1" t="inlineStr">
        <is>
          <t>Русский сентиментальный роман</t>
        </is>
      </c>
      <c r="AE612" s="1" t="inlineStr">
        <is>
          <t>офсетная</t>
        </is>
      </c>
      <c r="AG612" s="1" t="n">
        <v>9730430</v>
      </c>
      <c r="AI612" s="1" t="inlineStr">
        <is>
          <t>4901990000</t>
        </is>
      </c>
      <c r="AJ612" s="1" t="inlineStr">
        <is>
          <t>Зпв</t>
        </is>
      </c>
    </row>
    <row r="613" customFormat="1" s="1">
      <c r="C613" s="1" t="inlineStr">
        <is>
          <t xml:space="preserve">10770000            </t>
        </is>
      </c>
      <c r="D613" s="1" t="inlineStr">
        <is>
          <t>Ирада Берг - чтения со смыслом</t>
        </is>
      </c>
      <c r="E613" s="1" t="inlineStr">
        <is>
          <t>Мечты сбываются. Берг И.</t>
        </is>
      </c>
      <c r="F613" s="13" t="inlineStr">
        <is>
          <t>См.обл.</t>
        </is>
      </c>
      <c r="G613" s="1" t="inlineStr">
        <is>
          <t>Берг И.</t>
        </is>
      </c>
      <c r="H613" s="1" t="inlineStr">
        <is>
          <t>60х90/16</t>
        </is>
      </c>
      <c r="I613" s="1" t="n">
        <v>192</v>
      </c>
      <c r="J613" s="1" t="inlineStr">
        <is>
          <t>РИПОЛ Классик</t>
        </is>
      </c>
      <c r="M613" s="1" t="inlineStr">
        <is>
          <t>2023</t>
        </is>
      </c>
      <c r="N613" s="1" t="inlineStr">
        <is>
          <t>О</t>
        </is>
      </c>
      <c r="O613" s="9" t="n">
        <v>10</v>
      </c>
      <c r="P613" s="1">
        <f>ROUNDUP(1340*(1-$F$3),2)</f>
        <v/>
      </c>
      <c r="Q613" s="1" t="inlineStr">
        <is>
          <t> </t>
        </is>
      </c>
      <c r="R613" s="1" t="inlineStr">
        <is>
          <t>978-5-386-14973-4</t>
        </is>
      </c>
      <c r="S613" s="1" t="inlineStr">
        <is>
          <t>9785386149734</t>
        </is>
      </c>
      <c r="T613" s="9" t="n">
        <v>20</v>
      </c>
      <c r="U613" s="1">
        <f>ROUNDUP(1116.67*(1-$F$3),2)</f>
        <v/>
      </c>
      <c r="V613" s="1" t="n">
        <v>309</v>
      </c>
      <c r="Y613" s="1" t="inlineStr">
        <is>
          <t>Мечты сбываются</t>
        </is>
      </c>
      <c r="Z613" s="1" t="inlineStr">
        <is>
          <t>18+</t>
        </is>
      </c>
      <c r="AA613" s="12" t="n">
        <v>44918</v>
      </c>
      <c r="AB613" s="1" t="inlineStr">
        <is>
          <t>Художественная литература</t>
        </is>
      </c>
      <c r="AC613" s="1" t="inlineStr">
        <is>
          <t>Русская литература</t>
        </is>
      </c>
      <c r="AD613" s="1" t="inlineStr">
        <is>
          <t>Современная литература</t>
        </is>
      </c>
      <c r="AE613" s="1" t="inlineStr">
        <is>
          <t>офсетная</t>
        </is>
      </c>
      <c r="AG613" s="1" t="n">
        <v>10770000</v>
      </c>
      <c r="AI613" s="1" t="inlineStr">
        <is>
          <t>4901990000</t>
        </is>
      </c>
    </row>
    <row r="614" customFormat="1" s="1">
      <c r="C614" s="1" t="inlineStr">
        <is>
          <t xml:space="preserve">8228590             </t>
        </is>
      </c>
      <c r="D614" s="1" t="inlineStr">
        <is>
          <t>Искусство и действительность</t>
        </is>
      </c>
      <c r="E614" s="1" t="inlineStr">
        <is>
          <t>Введение в эстетику. Лало Ш.</t>
        </is>
      </c>
      <c r="F614" s="13" t="inlineStr">
        <is>
          <t>См.обл.</t>
        </is>
      </c>
      <c r="G614" s="1" t="inlineStr">
        <is>
          <t>Лало Ш.</t>
        </is>
      </c>
      <c r="H614" s="1" t="inlineStr">
        <is>
          <t>80х100/32</t>
        </is>
      </c>
      <c r="I614" s="1" t="n">
        <v>456</v>
      </c>
      <c r="J614" s="1" t="inlineStr">
        <is>
          <t>РИПОЛ Классик</t>
        </is>
      </c>
      <c r="M614" s="1" t="inlineStr">
        <is>
          <t>2026</t>
        </is>
      </c>
      <c r="N614" s="1" t="inlineStr">
        <is>
          <t>О</t>
        </is>
      </c>
      <c r="O614" s="9" t="n">
        <v>8</v>
      </c>
      <c r="P614" s="1">
        <f>ROUNDUP(1120.9*(1-$F$3),2)</f>
        <v/>
      </c>
      <c r="Q614" s="1" t="inlineStr">
        <is>
          <t> </t>
        </is>
      </c>
      <c r="R614" s="1" t="inlineStr">
        <is>
          <t>978-5-386-10233-3</t>
        </is>
      </c>
      <c r="S614" s="1" t="inlineStr">
        <is>
          <t>9785386102333</t>
        </is>
      </c>
      <c r="T614" s="9" t="n">
        <v>10</v>
      </c>
      <c r="U614" s="1">
        <f>ROUNDUP(1019*(1-$F$3),2)</f>
        <v/>
      </c>
      <c r="V614" s="1" t="n">
        <v>301</v>
      </c>
      <c r="Y614" s="1" t="inlineStr">
        <is>
          <t>Введение в эстетику</t>
        </is>
      </c>
      <c r="Z614" s="1" t="inlineStr">
        <is>
          <t>12+</t>
        </is>
      </c>
      <c r="AA614" s="12" t="n">
        <v>42996</v>
      </c>
      <c r="AB614" s="1" t="inlineStr">
        <is>
          <t>Искусство</t>
        </is>
      </c>
      <c r="AC614" s="1" t="inlineStr">
        <is>
          <t>Искусствоведение. История искусства</t>
        </is>
      </c>
      <c r="AD614" s="1" t="inlineStr">
        <is>
          <t>Искусствоведение. История искусства</t>
        </is>
      </c>
      <c r="AE614" s="1" t="inlineStr">
        <is>
          <t>офсетная</t>
        </is>
      </c>
      <c r="AG614" s="1" t="n">
        <v>8228590</v>
      </c>
      <c r="AI614" s="1" t="inlineStr">
        <is>
          <t>4901990000</t>
        </is>
      </c>
    </row>
    <row r="615" customFormat="1" s="1">
      <c r="C615" s="1" t="inlineStr">
        <is>
          <t xml:space="preserve">8366870             </t>
        </is>
      </c>
      <c r="D615" s="1" t="inlineStr">
        <is>
          <t>Искусство и действительность</t>
        </is>
      </c>
      <c r="E615" s="1" t="inlineStr">
        <is>
          <t>Законы Фьезоле. Рескин Дж.</t>
        </is>
      </c>
      <c r="F615" s="13" t="inlineStr">
        <is>
          <t>См.обл.</t>
        </is>
      </c>
      <c r="G615" s="1" t="inlineStr">
        <is>
          <t>Рескин Дж.</t>
        </is>
      </c>
      <c r="H615" s="1" t="inlineStr">
        <is>
          <t>80х100/32</t>
        </is>
      </c>
      <c r="I615" s="1" t="n">
        <v>272</v>
      </c>
      <c r="J615" s="1" t="inlineStr">
        <is>
          <t>РИПОЛ Классик</t>
        </is>
      </c>
      <c r="M615" s="1" t="inlineStr">
        <is>
          <t>2020</t>
        </is>
      </c>
      <c r="N615" s="1" t="inlineStr">
        <is>
          <t>О</t>
        </is>
      </c>
      <c r="O615" s="9" t="n">
        <v>14</v>
      </c>
      <c r="P615" s="1">
        <f>ROUNDUP(927.3*(1-$F$3),2)</f>
        <v/>
      </c>
      <c r="Q615" s="1" t="inlineStr">
        <is>
          <t> </t>
        </is>
      </c>
      <c r="R615" s="1" t="inlineStr">
        <is>
          <t>978-5-386-10302-6</t>
        </is>
      </c>
      <c r="S615" s="1" t="inlineStr">
        <is>
          <t>9785386103026</t>
        </is>
      </c>
      <c r="T615" s="9" t="n">
        <v>10</v>
      </c>
      <c r="U615" s="1">
        <f>ROUNDUP(843*(1-$F$3),2)</f>
        <v/>
      </c>
      <c r="V615" s="1" t="n">
        <v>206</v>
      </c>
      <c r="Y615" s="1" t="inlineStr">
        <is>
          <t>Законы Фьезоле</t>
        </is>
      </c>
      <c r="Z615" s="1" t="inlineStr">
        <is>
          <t>6 +</t>
        </is>
      </c>
      <c r="AA615" s="12" t="n">
        <v>43069</v>
      </c>
      <c r="AB615" s="1" t="inlineStr">
        <is>
          <t>Искусство</t>
        </is>
      </c>
      <c r="AC615" s="1" t="inlineStr">
        <is>
          <t>Искусствоведение. История искусства</t>
        </is>
      </c>
      <c r="AD615" s="1" t="inlineStr">
        <is>
          <t>Искусствоведение. История искусства</t>
        </is>
      </c>
      <c r="AE615" s="1" t="inlineStr">
        <is>
          <t>офсетная</t>
        </is>
      </c>
      <c r="AG615" s="1" t="n">
        <v>8366870</v>
      </c>
      <c r="AI615" s="1" t="inlineStr">
        <is>
          <t>4901990000</t>
        </is>
      </c>
    </row>
    <row r="616" customFormat="1" s="1">
      <c r="C616" s="1" t="inlineStr">
        <is>
          <t xml:space="preserve">8462870             </t>
        </is>
      </c>
      <c r="D616" s="1" t="inlineStr">
        <is>
          <t>Искусство и действительность</t>
        </is>
      </c>
      <c r="E616" s="1" t="inlineStr">
        <is>
          <t>Краски и слова. Блок А.А.</t>
        </is>
      </c>
      <c r="F616" s="13" t="inlineStr">
        <is>
          <t>См.обл.</t>
        </is>
      </c>
      <c r="G616" s="1" t="inlineStr">
        <is>
          <t>Блок А.А.</t>
        </is>
      </c>
      <c r="H616" s="1" t="inlineStr">
        <is>
          <t>80х100/32</t>
        </is>
      </c>
      <c r="I616" s="1" t="n">
        <v>268</v>
      </c>
      <c r="J616" s="1" t="inlineStr">
        <is>
          <t>РИПОЛ Классик</t>
        </is>
      </c>
      <c r="M616" s="1" t="inlineStr">
        <is>
          <t>2026</t>
        </is>
      </c>
      <c r="N616" s="1" t="inlineStr">
        <is>
          <t>О</t>
        </is>
      </c>
      <c r="O616" s="9" t="n">
        <v>14</v>
      </c>
      <c r="P616" s="1">
        <f>ROUNDUP(883.1*(1-$F$3),2)</f>
        <v/>
      </c>
      <c r="Q616" s="1" t="inlineStr">
        <is>
          <t> </t>
        </is>
      </c>
      <c r="R616" s="1" t="inlineStr">
        <is>
          <t>978-5-386-10545-7</t>
        </is>
      </c>
      <c r="S616" s="1" t="inlineStr">
        <is>
          <t>9785386105457</t>
        </is>
      </c>
      <c r="T616" s="9" t="n">
        <v>10</v>
      </c>
      <c r="U616" s="1">
        <f>ROUNDUP(802.82*(1-$F$3),2)</f>
        <v/>
      </c>
      <c r="V616" s="1" t="n">
        <v>203</v>
      </c>
      <c r="Y616" s="1" t="inlineStr">
        <is>
          <t>Краски и слова</t>
        </is>
      </c>
      <c r="Z616" s="1" t="inlineStr">
        <is>
          <t>12+</t>
        </is>
      </c>
      <c r="AA616" s="12" t="n">
        <v>43126</v>
      </c>
      <c r="AB616" s="1" t="inlineStr">
        <is>
          <t>Гуманитарные науки</t>
        </is>
      </c>
      <c r="AC616" s="1" t="inlineStr">
        <is>
          <t>Философские науки</t>
        </is>
      </c>
      <c r="AD616" s="1" t="inlineStr">
        <is>
          <t>Эстетика</t>
        </is>
      </c>
      <c r="AE616" s="1" t="inlineStr">
        <is>
          <t>офсетная</t>
        </is>
      </c>
      <c r="AG616" s="1" t="n">
        <v>8462870</v>
      </c>
      <c r="AI616" s="1" t="inlineStr">
        <is>
          <t>4901990000</t>
        </is>
      </c>
    </row>
    <row r="617" customFormat="1" s="1">
      <c r="C617" s="1" t="inlineStr">
        <is>
          <t>8446720</t>
        </is>
      </c>
      <c r="D617" s="1" t="inlineStr">
        <is>
          <t>Искусство и действительность</t>
        </is>
      </c>
      <c r="E617" s="1" t="inlineStr">
        <is>
          <t>Письма об эстетическом воспитании человека. Шиллер Ф.</t>
        </is>
      </c>
      <c r="F617" s="13" t="inlineStr">
        <is>
          <t>См.обл.</t>
        </is>
      </c>
      <c r="G617" s="1" t="inlineStr">
        <is>
          <t>Шиллер Ф.</t>
        </is>
      </c>
      <c r="H617" s="1" t="inlineStr">
        <is>
          <t>80х100/32</t>
        </is>
      </c>
      <c r="I617" s="1" t="n">
        <v>242</v>
      </c>
      <c r="J617" s="1" t="inlineStr">
        <is>
          <t>РИПОЛ Классик</t>
        </is>
      </c>
      <c r="M617" s="1" t="inlineStr">
        <is>
          <t>2026</t>
        </is>
      </c>
      <c r="N617" s="1" t="inlineStr">
        <is>
          <t>О</t>
        </is>
      </c>
      <c r="O617" s="9" t="n">
        <v>10</v>
      </c>
      <c r="P617" s="1">
        <f>ROUNDUP(890*(1-$F$3),2)</f>
        <v/>
      </c>
      <c r="Q617" s="1" t="inlineStr">
        <is>
          <t> </t>
        </is>
      </c>
      <c r="R617" s="1" t="inlineStr">
        <is>
          <t>978-5-386-10464-1</t>
        </is>
      </c>
      <c r="S617" s="1" t="inlineStr">
        <is>
          <t>9785386104641</t>
        </is>
      </c>
      <c r="T617" s="9" t="n">
        <v>10</v>
      </c>
      <c r="U617" s="1">
        <f>ROUNDUP(809.09*(1-$F$3),2)</f>
        <v/>
      </c>
      <c r="V617" s="1" t="n">
        <v>138</v>
      </c>
      <c r="Y617" s="1" t="inlineStr">
        <is>
          <t>Письма об эстетическом воспитании человека</t>
        </is>
      </c>
      <c r="Z617" s="1" t="inlineStr">
        <is>
          <t>16+</t>
        </is>
      </c>
      <c r="AA617" s="12" t="n">
        <v>43115</v>
      </c>
      <c r="AB617" s="1" t="inlineStr">
        <is>
          <t>Гуманитарные науки</t>
        </is>
      </c>
      <c r="AC617" s="1" t="inlineStr">
        <is>
          <t>Философские науки</t>
        </is>
      </c>
      <c r="AD617" s="1" t="inlineStr">
        <is>
          <t>Эстетика</t>
        </is>
      </c>
      <c r="AE617" s="1" t="inlineStr">
        <is>
          <t>офсетная</t>
        </is>
      </c>
      <c r="AG617" s="1" t="n">
        <v>8446720</v>
      </c>
      <c r="AI617" s="1" t="inlineStr">
        <is>
          <t>4901990000</t>
        </is>
      </c>
    </row>
    <row r="618" customFormat="1" s="1">
      <c r="C618" s="1" t="inlineStr">
        <is>
          <t xml:space="preserve">9247450             </t>
        </is>
      </c>
      <c r="D618" s="1" t="inlineStr">
        <is>
          <t>Историческая библиотека</t>
        </is>
      </c>
      <c r="E618" s="1" t="inlineStr">
        <is>
          <t>Империя тюрков. История великой цивилизации. Рахманалиев Р.</t>
        </is>
      </c>
      <c r="F618" s="13" t="inlineStr">
        <is>
          <t>См.обл.</t>
        </is>
      </c>
      <c r="G618" s="1" t="inlineStr">
        <is>
          <t>Рахманалиев Р.</t>
        </is>
      </c>
      <c r="H618" s="1" t="inlineStr">
        <is>
          <t>84х108/16</t>
        </is>
      </c>
      <c r="I618" s="1" t="n">
        <v>704</v>
      </c>
      <c r="J618" s="1" t="inlineStr">
        <is>
          <t>РИПОЛ Классик</t>
        </is>
      </c>
      <c r="M618" s="1" t="inlineStr">
        <is>
          <t>2025</t>
        </is>
      </c>
      <c r="N618" s="1" t="inlineStr">
        <is>
          <t>П</t>
        </is>
      </c>
      <c r="O618" s="9" t="n">
        <v>3</v>
      </c>
      <c r="P618" s="1">
        <f>ROUNDUP(2890*(1-$F$3),2)</f>
        <v/>
      </c>
      <c r="Q618" s="1" t="inlineStr">
        <is>
          <t> </t>
        </is>
      </c>
      <c r="R618" s="1" t="inlineStr">
        <is>
          <t>978-5-386-13511-9</t>
        </is>
      </c>
      <c r="S618" s="1" t="inlineStr">
        <is>
          <t>9785386135119</t>
        </is>
      </c>
      <c r="T618" s="9" t="n">
        <v>10</v>
      </c>
      <c r="U618" s="1">
        <f>ROUNDUP(2627.27*(1-$F$3),2)</f>
        <v/>
      </c>
      <c r="V618" s="1" t="n">
        <v>1395</v>
      </c>
      <c r="Y618" s="1" t="inlineStr">
        <is>
          <t>Империя тюрков. История великой цивилизации</t>
        </is>
      </c>
      <c r="Z618" s="1" t="inlineStr">
        <is>
          <t>16+</t>
        </is>
      </c>
      <c r="AA618" s="12" t="n">
        <v>43857</v>
      </c>
      <c r="AB618" s="1" t="inlineStr">
        <is>
          <t>Гуманитарные науки</t>
        </is>
      </c>
      <c r="AC618" s="1" t="inlineStr">
        <is>
          <t>История</t>
        </is>
      </c>
      <c r="AD618" s="1" t="inlineStr">
        <is>
          <t>История отдельных стран</t>
        </is>
      </c>
      <c r="AE618" s="1" t="inlineStr">
        <is>
          <t>офсетная</t>
        </is>
      </c>
      <c r="AG618" s="1" t="n">
        <v>9247450</v>
      </c>
      <c r="AI618" s="1" t="inlineStr">
        <is>
          <t>4901990000</t>
        </is>
      </c>
    </row>
    <row r="619" customFormat="1" s="1">
      <c r="C619" s="1" t="inlineStr">
        <is>
          <t xml:space="preserve">9676580             </t>
        </is>
      </c>
      <c r="D619" s="1" t="inlineStr">
        <is>
          <t>Историческая библиотека</t>
        </is>
      </c>
      <c r="E619" s="1" t="inlineStr">
        <is>
          <t>История русского народа. Полевой Н.А.</t>
        </is>
      </c>
      <c r="F619" s="13" t="inlineStr">
        <is>
          <t>См.обл.</t>
        </is>
      </c>
      <c r="G619" s="1" t="inlineStr">
        <is>
          <t>Полевой Н.А.</t>
        </is>
      </c>
      <c r="H619" s="1" t="inlineStr">
        <is>
          <t>70х100/16</t>
        </is>
      </c>
      <c r="I619" s="1" t="n">
        <v>592</v>
      </c>
      <c r="J619" s="1" t="inlineStr">
        <is>
          <t>РИПОЛ Классик</t>
        </is>
      </c>
      <c r="M619" s="1" t="inlineStr">
        <is>
          <t>2026</t>
        </is>
      </c>
      <c r="N619" s="1" t="inlineStr">
        <is>
          <t>П</t>
        </is>
      </c>
      <c r="O619" s="9" t="n">
        <v>8</v>
      </c>
      <c r="P619" s="1">
        <f>ROUNDUP(1900*(1-$F$3),2)</f>
        <v/>
      </c>
      <c r="Q619" s="1" t="inlineStr">
        <is>
          <t> </t>
        </is>
      </c>
      <c r="R619" s="1" t="inlineStr">
        <is>
          <t>978-5-386-14036-6</t>
        </is>
      </c>
      <c r="S619" s="1" t="inlineStr">
        <is>
          <t>9785386140366</t>
        </is>
      </c>
      <c r="T619" s="9" t="n">
        <v>10</v>
      </c>
      <c r="U619" s="1">
        <f>ROUNDUP(1727.27*(1-$F$3),2)</f>
        <v/>
      </c>
      <c r="V619" s="1" t="n">
        <v>891</v>
      </c>
      <c r="Y619" s="1" t="inlineStr">
        <is>
          <t>История русского народа</t>
        </is>
      </c>
      <c r="Z619" s="1" t="inlineStr">
        <is>
          <t>12+</t>
        </is>
      </c>
      <c r="AA619" s="12" t="n">
        <v>44278</v>
      </c>
      <c r="AB619" s="1" t="inlineStr">
        <is>
          <t>Гуманитарные науки</t>
        </is>
      </c>
      <c r="AC619" s="1" t="inlineStr">
        <is>
          <t>История</t>
        </is>
      </c>
      <c r="AD619" s="1" t="inlineStr">
        <is>
          <t>История России</t>
        </is>
      </c>
      <c r="AE619" s="1" t="inlineStr">
        <is>
          <t>офсетная</t>
        </is>
      </c>
      <c r="AG619" s="1" t="n">
        <v>9676580</v>
      </c>
      <c r="AI619" s="1" t="inlineStr">
        <is>
          <t>4901990000</t>
        </is>
      </c>
    </row>
    <row r="620" customFormat="1" s="1">
      <c r="C620" s="1" t="inlineStr">
        <is>
          <t xml:space="preserve">11147440            </t>
        </is>
      </c>
      <c r="D620" s="1" t="inlineStr">
        <is>
          <t>Историческая библиотека</t>
        </is>
      </c>
      <c r="E620" s="1" t="inlineStr">
        <is>
          <t>Спецслужбы России за 1000 лет. 2-е изд., доп. Линдер И.Б., Чуркин С.А.</t>
        </is>
      </c>
      <c r="F620" s="13" t="inlineStr">
        <is>
          <t>См.обл.</t>
        </is>
      </c>
      <c r="G620" s="1" t="inlineStr">
        <is>
          <t>Линдер И.Б., Чуркин С.А.</t>
        </is>
      </c>
      <c r="H620" s="1" t="inlineStr">
        <is>
          <t>84х108/16</t>
        </is>
      </c>
      <c r="I620" s="1" t="n">
        <v>784</v>
      </c>
      <c r="J620" s="1" t="inlineStr">
        <is>
          <t>РИПОЛ Классик</t>
        </is>
      </c>
      <c r="M620" s="1" t="inlineStr">
        <is>
          <t>2024</t>
        </is>
      </c>
      <c r="N620" s="1" t="inlineStr">
        <is>
          <t>П</t>
        </is>
      </c>
      <c r="O620" s="9" t="n">
        <v>3</v>
      </c>
      <c r="P620" s="1">
        <f>ROUNDUP(3740*(1-$F$3),2)</f>
        <v/>
      </c>
      <c r="Q620" s="1" t="inlineStr">
        <is>
          <t> </t>
        </is>
      </c>
      <c r="R620" s="1" t="inlineStr">
        <is>
          <t>978-5-386-14998-7</t>
        </is>
      </c>
      <c r="S620" s="1" t="inlineStr">
        <is>
          <t>9785386149987</t>
        </is>
      </c>
      <c r="T620" s="9" t="n">
        <v>10</v>
      </c>
      <c r="U620" s="1">
        <f>ROUNDUP(3400*(1-$F$3),2)</f>
        <v/>
      </c>
      <c r="V620" s="1" t="n">
        <v>1824</v>
      </c>
      <c r="Y620" s="1" t="inlineStr">
        <is>
          <t>Спецслужбы России за 1000 лет. 2-е изд., доп</t>
        </is>
      </c>
      <c r="Z620" s="1" t="inlineStr">
        <is>
          <t>12+</t>
        </is>
      </c>
      <c r="AA620" s="12" t="n">
        <v>45283</v>
      </c>
      <c r="AB620" s="1" t="inlineStr">
        <is>
          <t>Общественные науки</t>
        </is>
      </c>
      <c r="AC620" s="1" t="inlineStr">
        <is>
          <t>Военное дело. Гражданская защита</t>
        </is>
      </c>
      <c r="AD620" s="1" t="inlineStr">
        <is>
          <t>Спецслужбы</t>
        </is>
      </c>
      <c r="AE620" s="1" t="inlineStr">
        <is>
          <t>офсетная</t>
        </is>
      </c>
      <c r="AG620" s="1" t="n">
        <v>11147440</v>
      </c>
      <c r="AI620" s="1" t="inlineStr">
        <is>
          <t>4901990000</t>
        </is>
      </c>
    </row>
    <row r="621" customFormat="1" s="1">
      <c r="C621" s="1" t="inlineStr">
        <is>
          <t xml:space="preserve">9618300             </t>
        </is>
      </c>
      <c r="D621" s="1" t="inlineStr">
        <is>
          <t>Историческая проза</t>
        </is>
      </c>
      <c r="E621" s="1" t="inlineStr">
        <is>
          <t>Царство женщин. Валишевский К.</t>
        </is>
      </c>
      <c r="F621" s="13" t="inlineStr">
        <is>
          <t>См.обл.</t>
        </is>
      </c>
      <c r="G621" s="1" t="inlineStr">
        <is>
          <t>Валишевский К.</t>
        </is>
      </c>
      <c r="H621" s="1" t="inlineStr">
        <is>
          <t>60х90/16</t>
        </is>
      </c>
      <c r="I621" s="1" t="n">
        <v>320</v>
      </c>
      <c r="J621" s="1" t="inlineStr">
        <is>
          <t>РИПОЛ Классик</t>
        </is>
      </c>
      <c r="M621" s="1" t="inlineStr">
        <is>
          <t>2021</t>
        </is>
      </c>
      <c r="N621" s="1" t="inlineStr">
        <is>
          <t>П</t>
        </is>
      </c>
      <c r="O621" s="9" t="n">
        <v>14</v>
      </c>
      <c r="P621" s="1">
        <f>ROUNDUP(1090*(1-$F$3),2)</f>
        <v/>
      </c>
      <c r="Q621" s="1" t="inlineStr">
        <is>
          <t> </t>
        </is>
      </c>
      <c r="R621" s="1" t="inlineStr">
        <is>
          <t>978-5-386-13997-1</t>
        </is>
      </c>
      <c r="S621" s="1" t="inlineStr">
        <is>
          <t>9785386139971</t>
        </is>
      </c>
      <c r="T621" s="9" t="n">
        <v>10</v>
      </c>
      <c r="U621" s="1">
        <f>ROUNDUP(990.91*(1-$F$3),2)</f>
        <v/>
      </c>
      <c r="V621" s="1" t="n">
        <v>432</v>
      </c>
      <c r="Y621" s="1" t="inlineStr">
        <is>
          <t>Царство женщин</t>
        </is>
      </c>
      <c r="Z621" s="1" t="inlineStr">
        <is>
          <t>16+</t>
        </is>
      </c>
      <c r="AA621" s="12" t="n">
        <v>44236</v>
      </c>
      <c r="AB621" s="1" t="inlineStr">
        <is>
          <t>Художественная литература</t>
        </is>
      </c>
      <c r="AC621" s="1" t="inlineStr">
        <is>
          <t>Историческая проза</t>
        </is>
      </c>
      <c r="AD621" s="1" t="inlineStr">
        <is>
          <t>Зарубежная историческая проза</t>
        </is>
      </c>
      <c r="AE621" s="1" t="inlineStr">
        <is>
          <t>офсетная</t>
        </is>
      </c>
      <c r="AG621" s="1" t="n">
        <v>9618300</v>
      </c>
      <c r="AI621" s="1" t="inlineStr">
        <is>
          <t>4901990000</t>
        </is>
      </c>
    </row>
    <row r="622" customFormat="1" s="1">
      <c r="C622" s="1" t="inlineStr">
        <is>
          <t xml:space="preserve">11664240            </t>
        </is>
      </c>
      <c r="D622" s="1" t="inlineStr">
        <is>
          <t>Исторический детектив</t>
        </is>
      </c>
      <c r="E622" s="1" t="inlineStr">
        <is>
          <t>Бюро темных дел 2. Призрак Викария. Фуасье Э.</t>
        </is>
      </c>
      <c r="F622" s="13" t="inlineStr">
        <is>
          <t>См.обл.</t>
        </is>
      </c>
      <c r="G622" s="1" t="inlineStr">
        <is>
          <t>Фуасье Э.</t>
        </is>
      </c>
      <c r="H622" s="1" t="inlineStr">
        <is>
          <t>60х90/16</t>
        </is>
      </c>
      <c r="I622" s="1" t="n">
        <v>464</v>
      </c>
      <c r="J622" s="1" t="inlineStr">
        <is>
          <t>РИПОЛ Классик</t>
        </is>
      </c>
      <c r="M622" s="1" t="inlineStr">
        <is>
          <t>2025</t>
        </is>
      </c>
      <c r="N622" s="1" t="inlineStr">
        <is>
          <t>П</t>
        </is>
      </c>
      <c r="O622" s="9" t="n">
        <v>6</v>
      </c>
      <c r="P622" s="1">
        <f>ROUNDUP(1250*(1-$F$3),2)</f>
        <v/>
      </c>
      <c r="Q622" s="1" t="inlineStr">
        <is>
          <t> </t>
        </is>
      </c>
      <c r="R622" s="1" t="inlineStr">
        <is>
          <t>978-5-386-15412-7</t>
        </is>
      </c>
      <c r="S622" s="1" t="inlineStr">
        <is>
          <t>9785386154127</t>
        </is>
      </c>
      <c r="T622" s="9" t="n">
        <v>22</v>
      </c>
      <c r="U622" s="1">
        <f>ROUNDUP(1024.59*(1-$F$3),2)</f>
        <v/>
      </c>
      <c r="V622" s="1" t="n">
        <v>502</v>
      </c>
      <c r="Y622" s="1" t="inlineStr">
        <is>
          <t>Бюро темных дел 2. Призрак Викария</t>
        </is>
      </c>
      <c r="Z622" s="1" t="inlineStr">
        <is>
          <t>18+</t>
        </is>
      </c>
      <c r="AA622" s="12" t="n">
        <v>45747</v>
      </c>
      <c r="AB622" s="1" t="inlineStr">
        <is>
          <t>Художественная литература</t>
        </is>
      </c>
      <c r="AC622" s="1" t="inlineStr">
        <is>
          <t>Детективы. Боевики. Триллеры</t>
        </is>
      </c>
      <c r="AD622" s="1" t="inlineStr">
        <is>
          <t>Зарубежный детектив</t>
        </is>
      </c>
      <c r="AE622" s="1" t="inlineStr">
        <is>
          <t>офсетная</t>
        </is>
      </c>
      <c r="AG622" s="1" t="n">
        <v>11664240</v>
      </c>
      <c r="AI622" s="1" t="inlineStr">
        <is>
          <t>4901990000</t>
        </is>
      </c>
      <c r="AJ622" s="1" t="inlineStr">
        <is>
          <t>Зпв</t>
        </is>
      </c>
    </row>
    <row r="623" customFormat="1" s="1">
      <c r="C623" s="1" t="inlineStr">
        <is>
          <t xml:space="preserve">11934630            </t>
        </is>
      </c>
      <c r="D623" s="1" t="inlineStr">
        <is>
          <t>Исторический детектив</t>
        </is>
      </c>
      <c r="E623" s="1" t="inlineStr">
        <is>
          <t>Бюро темных дел 3. Ночи синего ужаса. Фуасье Э.</t>
        </is>
      </c>
      <c r="F623" s="13" t="inlineStr">
        <is>
          <t>См.обл.</t>
        </is>
      </c>
      <c r="G623" s="1" t="inlineStr">
        <is>
          <t>Фуасье Э.</t>
        </is>
      </c>
      <c r="H623" s="1" t="inlineStr">
        <is>
          <t>60х90/16</t>
        </is>
      </c>
      <c r="I623" s="1" t="n">
        <v>448</v>
      </c>
      <c r="J623" s="1" t="inlineStr">
        <is>
          <t>РИПОЛ Классик</t>
        </is>
      </c>
      <c r="M623" s="1" t="inlineStr">
        <is>
          <t>2026</t>
        </is>
      </c>
      <c r="N623" s="1" t="inlineStr">
        <is>
          <t>П</t>
        </is>
      </c>
      <c r="O623" s="9" t="n">
        <v>6</v>
      </c>
      <c r="P623" s="1">
        <f>ROUNDUP(1000*(1-$F$3),2)</f>
        <v/>
      </c>
      <c r="Q623" s="1" t="inlineStr">
        <is>
          <t> </t>
        </is>
      </c>
      <c r="R623" s="1" t="inlineStr">
        <is>
          <t>978-5-386-15467-7</t>
        </is>
      </c>
      <c r="S623" s="1" t="inlineStr">
        <is>
          <t>9785386154677</t>
        </is>
      </c>
      <c r="T623" s="9" t="n">
        <v>22</v>
      </c>
      <c r="U623" s="1">
        <f>ROUNDUP(819.67*(1-$F$3),2)</f>
        <v/>
      </c>
      <c r="V623" s="1" t="n">
        <v>523</v>
      </c>
      <c r="Y623" s="1" t="inlineStr">
        <is>
          <t>Бюро темных дел 3. Ночи синего ужаса</t>
        </is>
      </c>
      <c r="Z623" s="1" t="inlineStr">
        <is>
          <t>18+</t>
        </is>
      </c>
      <c r="AA623" s="12" t="n">
        <v>45982</v>
      </c>
      <c r="AB623" s="1" t="inlineStr">
        <is>
          <t>Художественная литература</t>
        </is>
      </c>
      <c r="AC623" s="1" t="inlineStr">
        <is>
          <t>Детективы. Боевики. Триллеры</t>
        </is>
      </c>
      <c r="AD623" s="1" t="inlineStr">
        <is>
          <t>Зарубежный детектив</t>
        </is>
      </c>
      <c r="AE623" s="1" t="inlineStr">
        <is>
          <t>офсетная</t>
        </is>
      </c>
      <c r="AG623" s="1" t="n">
        <v>11934630</v>
      </c>
      <c r="AI623" s="1" t="inlineStr">
        <is>
          <t>4901990000</t>
        </is>
      </c>
      <c r="AJ623" s="1" t="inlineStr">
        <is>
          <t>Зпв</t>
        </is>
      </c>
    </row>
    <row r="624" customFormat="1" s="1">
      <c r="C624" s="1" t="inlineStr">
        <is>
          <t xml:space="preserve">12228600            </t>
        </is>
      </c>
      <c r="D624" s="1" t="inlineStr">
        <is>
          <t>Исторический детектив</t>
        </is>
      </c>
      <c r="E624" s="1" t="inlineStr">
        <is>
          <t>Бюро темных дел. Зловещая мелодия. Фуасье Э.</t>
        </is>
      </c>
      <c r="F624" s="13" t="inlineStr">
        <is>
          <t>См.обл.</t>
        </is>
      </c>
      <c r="G624" s="1" t="inlineStr">
        <is>
          <t>Фуасье Э.</t>
        </is>
      </c>
      <c r="H624" s="1" t="inlineStr">
        <is>
          <t>60х90/16</t>
        </is>
      </c>
      <c r="I624" s="1" t="n">
        <v>496</v>
      </c>
      <c r="J624" s="1" t="inlineStr">
        <is>
          <t>РИПОЛ Классик</t>
        </is>
      </c>
      <c r="M624" s="1" t="inlineStr">
        <is>
          <t>2026</t>
        </is>
      </c>
      <c r="N624" s="1" t="inlineStr">
        <is>
          <t>П</t>
        </is>
      </c>
      <c r="O624" s="9" t="n">
        <v>6</v>
      </c>
      <c r="P624" s="1">
        <f>ROUNDUP(1190*(1-$F$3),2)</f>
        <v/>
      </c>
      <c r="Q624" s="1" t="inlineStr">
        <is>
          <t> </t>
        </is>
      </c>
      <c r="R624" s="1" t="inlineStr">
        <is>
          <t>978-5-386-15624-4</t>
        </is>
      </c>
      <c r="S624" s="1" t="inlineStr">
        <is>
          <t>9785386156244</t>
        </is>
      </c>
      <c r="T624" s="9" t="n">
        <v>22</v>
      </c>
      <c r="U624" s="1">
        <f>ROUNDUP(975.41*(1-$F$3),2)</f>
        <v/>
      </c>
      <c r="V624" s="1" t="n">
        <v>564</v>
      </c>
      <c r="Y624" s="1" t="inlineStr">
        <is>
          <t>Бюро темных дел. Зловещая мелодия</t>
        </is>
      </c>
      <c r="Z624" s="1" t="inlineStr">
        <is>
          <t>18+</t>
        </is>
      </c>
      <c r="AA624" s="12" t="n">
        <v>46247</v>
      </c>
      <c r="AB624" s="1" t="inlineStr">
        <is>
          <t>Художественная литература</t>
        </is>
      </c>
      <c r="AC624" s="1" t="inlineStr">
        <is>
          <t>Детективы. Боевики. Триллеры</t>
        </is>
      </c>
      <c r="AD624" s="1" t="inlineStr">
        <is>
          <t>Зарубежный детектив</t>
        </is>
      </c>
      <c r="AE624" s="1" t="inlineStr">
        <is>
          <t>офсетная</t>
        </is>
      </c>
      <c r="AG624" s="1" t="n">
        <v>12228600</v>
      </c>
      <c r="AI624" s="1" t="inlineStr">
        <is>
          <t>4901990000</t>
        </is>
      </c>
      <c r="AJ624" s="1" t="inlineStr">
        <is>
          <t>Зпв</t>
        </is>
      </c>
    </row>
    <row r="625" customFormat="1" s="1">
      <c r="C625" s="1" t="inlineStr">
        <is>
          <t xml:space="preserve">11502880            </t>
        </is>
      </c>
      <c r="D625" s="1" t="inlineStr">
        <is>
          <t>Исторический детектив</t>
        </is>
      </c>
      <c r="E625" s="1" t="inlineStr">
        <is>
          <t>Бюро темных дел. Фуасье Э.</t>
        </is>
      </c>
      <c r="F625" s="13" t="inlineStr">
        <is>
          <t>См.обл.</t>
        </is>
      </c>
      <c r="G625" s="1" t="inlineStr">
        <is>
          <t>Фуасье Э.</t>
        </is>
      </c>
      <c r="H625" s="1" t="inlineStr">
        <is>
          <t>60х90/16</t>
        </is>
      </c>
      <c r="I625" s="1" t="n">
        <v>448</v>
      </c>
      <c r="J625" s="1" t="inlineStr">
        <is>
          <t>РИПОЛ Классик</t>
        </is>
      </c>
      <c r="M625" s="1" t="inlineStr">
        <is>
          <t>2026</t>
        </is>
      </c>
      <c r="N625" s="1" t="inlineStr">
        <is>
          <t>П</t>
        </is>
      </c>
      <c r="O625" s="9" t="n">
        <v>6</v>
      </c>
      <c r="P625" s="1">
        <f>ROUNDUP(1260*(1-$F$3),2)</f>
        <v/>
      </c>
      <c r="Q625" s="1" t="inlineStr">
        <is>
          <t> </t>
        </is>
      </c>
      <c r="R625" s="1" t="inlineStr">
        <is>
          <t>978-5-386-15155-3</t>
        </is>
      </c>
      <c r="S625" s="1" t="inlineStr">
        <is>
          <t>9785386151553</t>
        </is>
      </c>
      <c r="T625" s="9" t="n">
        <v>22</v>
      </c>
      <c r="U625" s="1">
        <f>ROUNDUP(1032.79*(1-$F$3),2)</f>
        <v/>
      </c>
      <c r="V625" s="1" t="n">
        <v>528</v>
      </c>
      <c r="Y625" s="1" t="inlineStr">
        <is>
          <t>Бюро темных дел</t>
        </is>
      </c>
      <c r="Z625" s="1" t="inlineStr">
        <is>
          <t>18+</t>
        </is>
      </c>
      <c r="AA625" s="12" t="n">
        <v>45618</v>
      </c>
      <c r="AB625" s="1" t="inlineStr">
        <is>
          <t>Художественная литература</t>
        </is>
      </c>
      <c r="AC625" s="1" t="inlineStr">
        <is>
          <t>Детективы. Боевики. Триллеры</t>
        </is>
      </c>
      <c r="AD625" s="1" t="inlineStr">
        <is>
          <t>Зарубежный детектив</t>
        </is>
      </c>
      <c r="AE625" s="1" t="inlineStr">
        <is>
          <t>офсетная</t>
        </is>
      </c>
      <c r="AG625" s="1" t="n">
        <v>11502880</v>
      </c>
      <c r="AI625" s="1" t="inlineStr">
        <is>
          <t>4901990000</t>
        </is>
      </c>
    </row>
    <row r="626" customFormat="1" s="1">
      <c r="C626" s="1" t="inlineStr">
        <is>
          <t xml:space="preserve">11141950            </t>
        </is>
      </c>
      <c r="D626" s="1" t="inlineStr">
        <is>
          <t>История в стиле fine</t>
        </is>
      </c>
      <c r="E626" s="1" t="inlineStr">
        <is>
          <t>Во-первых, это красиво. Коротаева М.</t>
        </is>
      </c>
      <c r="F626" s="13" t="inlineStr">
        <is>
          <t>См.обл.</t>
        </is>
      </c>
      <c r="G626" s="1" t="inlineStr">
        <is>
          <t>Коротаева М.</t>
        </is>
      </c>
      <c r="H626" s="1" t="inlineStr">
        <is>
          <t>60х90/16</t>
        </is>
      </c>
      <c r="I626" s="1" t="n">
        <v>176</v>
      </c>
      <c r="J626" s="1" t="inlineStr">
        <is>
          <t>РИПОЛ Классик</t>
        </is>
      </c>
      <c r="M626" s="1" t="inlineStr">
        <is>
          <t>2024</t>
        </is>
      </c>
      <c r="N626" s="1" t="inlineStr">
        <is>
          <t>П</t>
        </is>
      </c>
      <c r="O626" s="9" t="n">
        <v>18</v>
      </c>
      <c r="P626" s="1">
        <f>ROUNDUP(1020*(1-$F$3),2)</f>
        <v/>
      </c>
      <c r="Q626" s="1" t="inlineStr">
        <is>
          <t> </t>
        </is>
      </c>
      <c r="R626" s="1" t="inlineStr">
        <is>
          <t>978-5-386-15144-7</t>
        </is>
      </c>
      <c r="S626" s="1" t="inlineStr">
        <is>
          <t>9785386151447</t>
        </is>
      </c>
      <c r="T626" s="9" t="n">
        <v>10</v>
      </c>
      <c r="U626" s="1">
        <f>ROUNDUP(927.27*(1-$F$3),2)</f>
        <v/>
      </c>
      <c r="V626" s="1" t="n">
        <v>332</v>
      </c>
      <c r="Y626" s="1" t="inlineStr">
        <is>
          <t>Во-первых, это красиво</t>
        </is>
      </c>
      <c r="Z626" s="1" t="inlineStr">
        <is>
          <t>16+</t>
        </is>
      </c>
      <c r="AA626" s="12" t="n">
        <v>45245</v>
      </c>
      <c r="AB626" s="1" t="inlineStr">
        <is>
          <t>Художественная литература</t>
        </is>
      </c>
      <c r="AC626" s="1" t="inlineStr">
        <is>
          <t>Русская литература</t>
        </is>
      </c>
      <c r="AD626" s="1" t="inlineStr">
        <is>
          <t>Современная литература</t>
        </is>
      </c>
      <c r="AE626" s="1" t="inlineStr">
        <is>
          <t>офсетная</t>
        </is>
      </c>
      <c r="AG626" s="1" t="n">
        <v>11141950</v>
      </c>
      <c r="AI626" s="1" t="inlineStr">
        <is>
          <t>4901990000</t>
        </is>
      </c>
    </row>
    <row r="627" customFormat="1" s="1">
      <c r="C627" s="1" t="inlineStr">
        <is>
          <t>11527500</t>
        </is>
      </c>
      <c r="D627" s="1" t="inlineStr">
        <is>
          <t>История в стиле fine</t>
        </is>
      </c>
      <c r="E627" s="1" t="inlineStr">
        <is>
          <t>История в стиле fine; Тетерев мечты (комплект из 2-х книг). Шахназаров М.С.</t>
        </is>
      </c>
      <c r="F627" s="13" t="inlineStr">
        <is>
          <t>См.обл.</t>
        </is>
      </c>
      <c r="G627" s="1" t="inlineStr">
        <is>
          <t>Шахназаров М.С.</t>
        </is>
      </c>
      <c r="H627" s="1" t="inlineStr">
        <is>
          <t>60х90/16</t>
        </is>
      </c>
      <c r="I627" s="1" t="n">
        <v>488</v>
      </c>
      <c r="J627" s="1" t="inlineStr">
        <is>
          <t>РИПОЛ Классик</t>
        </is>
      </c>
      <c r="M627" s="1" t="inlineStr">
        <is>
          <t>2026</t>
        </is>
      </c>
      <c r="N627" s="1" t="inlineStr">
        <is>
          <t>П</t>
        </is>
      </c>
      <c r="O627" s="9" t="n">
        <v>1</v>
      </c>
      <c r="P627" s="1">
        <f>ROUNDUP(1630*(1-$F$3),2)</f>
        <v/>
      </c>
      <c r="Q627" s="1" t="inlineStr">
        <is>
          <t> </t>
        </is>
      </c>
      <c r="R627" s="1" t="inlineStr">
        <is>
          <t>978-5-521-84025-0</t>
        </is>
      </c>
      <c r="S627" s="1" t="inlineStr">
        <is>
          <t>9785521840250</t>
        </is>
      </c>
      <c r="T627" s="9" t="n">
        <v>22</v>
      </c>
      <c r="U627" s="1">
        <f>ROUNDUP(1336.07*(1-$F$3),2)</f>
        <v/>
      </c>
      <c r="V627" s="1" t="n">
        <v>681</v>
      </c>
      <c r="Y627" s="1" t="inlineStr">
        <is>
          <t>История в стиле fine; Тетерев мечты (комплект из 2-х книг)</t>
        </is>
      </c>
      <c r="Z627" s="1" t="inlineStr">
        <is>
          <t>18+</t>
        </is>
      </c>
      <c r="AA627" s="12" t="n">
        <v>45590</v>
      </c>
      <c r="AB627" s="1" t="inlineStr">
        <is>
          <t>Художественная литература</t>
        </is>
      </c>
      <c r="AC627" s="1" t="inlineStr">
        <is>
          <t>Русская литература</t>
        </is>
      </c>
      <c r="AD627" s="1" t="inlineStr">
        <is>
          <t>Современная литература</t>
        </is>
      </c>
      <c r="AE627" s="1" t="inlineStr">
        <is>
          <t>офсетная</t>
        </is>
      </c>
      <c r="AG627" s="1" t="n">
        <v>11527500</v>
      </c>
      <c r="AI627" s="1" t="inlineStr">
        <is>
          <t>4901990000</t>
        </is>
      </c>
      <c r="AJ627" s="1" t="inlineStr">
        <is>
          <t>Зпв</t>
        </is>
      </c>
    </row>
    <row r="628" customFormat="1" s="1">
      <c r="C628" s="1" t="inlineStr">
        <is>
          <t xml:space="preserve">11427530            </t>
        </is>
      </c>
      <c r="D628" s="1" t="inlineStr">
        <is>
          <t>История в стиле fine</t>
        </is>
      </c>
      <c r="E628" s="1" t="inlineStr">
        <is>
          <t>Петроградка. Переверзев С.</t>
        </is>
      </c>
      <c r="F628" s="13" t="inlineStr">
        <is>
          <t>См.обл.</t>
        </is>
      </c>
      <c r="G628" s="1" t="inlineStr">
        <is>
          <t>Переверзев С.</t>
        </is>
      </c>
      <c r="H628" s="1" t="inlineStr">
        <is>
          <t>60х90/16</t>
        </is>
      </c>
      <c r="I628" s="1" t="n">
        <v>224</v>
      </c>
      <c r="J628" s="1" t="inlineStr">
        <is>
          <t>РИПОЛ Классик</t>
        </is>
      </c>
      <c r="M628" s="1" t="inlineStr">
        <is>
          <t>2026</t>
        </is>
      </c>
      <c r="N628" s="1" t="inlineStr">
        <is>
          <t>П</t>
        </is>
      </c>
      <c r="O628" s="9" t="n">
        <v>10</v>
      </c>
      <c r="P628" s="1">
        <f>ROUNDUP(1100*(1-$F$3),2)</f>
        <v/>
      </c>
      <c r="Q628" s="1" t="inlineStr">
        <is>
          <t> </t>
        </is>
      </c>
      <c r="R628" s="1" t="inlineStr">
        <is>
          <t>978-5-386-15243-7</t>
        </is>
      </c>
      <c r="S628" s="1" t="inlineStr">
        <is>
          <t>9785386152437</t>
        </is>
      </c>
      <c r="T628" s="9" t="n">
        <v>10</v>
      </c>
      <c r="U628" s="1">
        <f>ROUNDUP(1000*(1-$F$3),2)</f>
        <v/>
      </c>
      <c r="V628" s="1" t="n">
        <v>324</v>
      </c>
      <c r="Y628" s="1" t="inlineStr">
        <is>
          <t>Петроградка</t>
        </is>
      </c>
      <c r="Z628" s="1" t="inlineStr">
        <is>
          <t>16+</t>
        </is>
      </c>
      <c r="AA628" s="12" t="n">
        <v>45517</v>
      </c>
      <c r="AB628" s="1" t="inlineStr">
        <is>
          <t>Художественная литература</t>
        </is>
      </c>
      <c r="AC628" s="1" t="inlineStr">
        <is>
          <t>Русская литература</t>
        </is>
      </c>
      <c r="AD628" s="1" t="inlineStr">
        <is>
          <t>Современная литература</t>
        </is>
      </c>
      <c r="AE628" s="1" t="inlineStr">
        <is>
          <t>офсетная</t>
        </is>
      </c>
      <c r="AG628" s="1" t="n">
        <v>11427530</v>
      </c>
      <c r="AI628" s="1" t="inlineStr">
        <is>
          <t>4901990000</t>
        </is>
      </c>
    </row>
    <row r="629" customFormat="1" s="1">
      <c r="C629" s="1" t="inlineStr">
        <is>
          <t>316867</t>
        </is>
      </c>
      <c r="D629" s="1" t="inlineStr">
        <is>
          <t>История государства Российского</t>
        </is>
      </c>
      <c r="E629" s="1" t="inlineStr">
        <is>
          <t>История государства Российского. В 4 т. Т. 3 (VII-IX). Московская Русь при Василии III и Иване Грозном. Карамзин Н.М.</t>
        </is>
      </c>
      <c r="F629" s="13" t="inlineStr">
        <is>
          <t>См.обл.</t>
        </is>
      </c>
      <c r="G629" s="1" t="inlineStr">
        <is>
          <t>Карамзин Н.М.</t>
        </is>
      </c>
      <c r="H629" s="1" t="inlineStr">
        <is>
          <t>72х108/16</t>
        </is>
      </c>
      <c r="I629" s="1" t="n">
        <v>688</v>
      </c>
      <c r="J629" s="1" t="inlineStr">
        <is>
          <t>РИПОЛ Классик</t>
        </is>
      </c>
      <c r="M629" s="1" t="inlineStr">
        <is>
          <t>2014</t>
        </is>
      </c>
      <c r="N629" s="1" t="inlineStr">
        <is>
          <t>П</t>
        </is>
      </c>
      <c r="O629" s="9" t="n">
        <v>4</v>
      </c>
      <c r="P629" s="1">
        <f>ROUNDUP(1965.3*(1-$F$3),2)</f>
        <v/>
      </c>
      <c r="Q629" s="1" t="inlineStr">
        <is>
          <t> </t>
        </is>
      </c>
      <c r="R629" s="1" t="inlineStr">
        <is>
          <t>978-5-386-07728-0</t>
        </is>
      </c>
      <c r="S629" s="1" t="inlineStr">
        <is>
          <t>9785386077280</t>
        </is>
      </c>
      <c r="T629" s="9" t="n">
        <v>10</v>
      </c>
      <c r="U629" s="1">
        <f>ROUNDUP(1786.64*(1-$F$3),2)</f>
        <v/>
      </c>
      <c r="V629" s="1" t="n">
        <v>1359</v>
      </c>
      <c r="W629" s="1" t="inlineStr">
        <is>
          <t xml:space="preserve">031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629" s="1" t="inlineStr">
        <is>
          <t xml:space="preserve">История России                                                                                                                  </t>
        </is>
      </c>
      <c r="Y629" s="1" t="inlineStr">
        <is>
          <t>История государства Российского. В 4 т. Т. 3 (VII-IX). Московская Русь при Василии III и Иване Грозном</t>
        </is>
      </c>
      <c r="AA629" s="12" t="n">
        <v>42037</v>
      </c>
      <c r="AB629" s="1" t="inlineStr">
        <is>
          <t>Гуманитарные науки</t>
        </is>
      </c>
      <c r="AC629" s="1" t="inlineStr">
        <is>
          <t>История</t>
        </is>
      </c>
      <c r="AD629" s="1" t="inlineStr">
        <is>
          <t>История России</t>
        </is>
      </c>
      <c r="AE629" s="1" t="inlineStr">
        <is>
          <t> </t>
        </is>
      </c>
      <c r="AG629" s="1" t="n">
        <v>6674650</v>
      </c>
      <c r="AI629" s="1" t="inlineStr">
        <is>
          <t>4901990000</t>
        </is>
      </c>
    </row>
    <row r="630" customFormat="1" s="1">
      <c r="C630" s="1" t="inlineStr">
        <is>
          <t xml:space="preserve">11067760            </t>
        </is>
      </c>
      <c r="D630" s="1" t="inlineStr">
        <is>
          <t>Кибер-детектив</t>
        </is>
      </c>
      <c r="E630" s="1" t="inlineStr">
        <is>
          <t>Спаси ее. Форж С.</t>
        </is>
      </c>
      <c r="F630" s="13" t="inlineStr">
        <is>
          <t>См.обл.</t>
        </is>
      </c>
      <c r="G630" s="1" t="inlineStr">
        <is>
          <t>Форж С.</t>
        </is>
      </c>
      <c r="H630" s="1" t="inlineStr">
        <is>
          <t>84х108/32</t>
        </is>
      </c>
      <c r="I630" s="1" t="n">
        <v>384</v>
      </c>
      <c r="J630" s="1" t="inlineStr">
        <is>
          <t>РИПОЛ Классик</t>
        </is>
      </c>
      <c r="M630" s="1" t="inlineStr">
        <is>
          <t>2023</t>
        </is>
      </c>
      <c r="N630" s="1" t="inlineStr">
        <is>
          <t>П</t>
        </is>
      </c>
      <c r="O630" s="9" t="n">
        <v>10</v>
      </c>
      <c r="P630" s="1">
        <f>ROUNDUP(1230*(1-$F$3),2)</f>
        <v/>
      </c>
      <c r="Q630" s="1" t="inlineStr">
        <is>
          <t> </t>
        </is>
      </c>
      <c r="R630" s="1" t="inlineStr">
        <is>
          <t>978-5-386-14991-8</t>
        </is>
      </c>
      <c r="S630" s="1" t="inlineStr">
        <is>
          <t>9785386149918</t>
        </is>
      </c>
      <c r="T630" s="9" t="n">
        <v>10</v>
      </c>
      <c r="U630" s="1">
        <f>ROUNDUP(1118.18*(1-$F$3),2)</f>
        <v/>
      </c>
      <c r="V630" s="1" t="n">
        <v>494</v>
      </c>
      <c r="Y630" s="1" t="inlineStr">
        <is>
          <t>Спаси ее</t>
        </is>
      </c>
      <c r="Z630" s="1" t="inlineStr">
        <is>
          <t>16+</t>
        </is>
      </c>
      <c r="AA630" s="12" t="n">
        <v>45225</v>
      </c>
      <c r="AB630" s="1" t="inlineStr">
        <is>
          <t>Художественная литература</t>
        </is>
      </c>
      <c r="AC630" s="1" t="inlineStr">
        <is>
          <t>Детективы. Боевики. Триллеры</t>
        </is>
      </c>
      <c r="AD630" s="1" t="inlineStr">
        <is>
          <t>Зарубежный детектив</t>
        </is>
      </c>
      <c r="AE630" s="1" t="inlineStr">
        <is>
          <t>офсетная</t>
        </is>
      </c>
      <c r="AG630" s="1" t="n">
        <v>11067760</v>
      </c>
      <c r="AI630" s="1" t="inlineStr">
        <is>
          <t>4901990000</t>
        </is>
      </c>
      <c r="AJ630" s="1" t="inlineStr">
        <is>
          <t>Зпв</t>
        </is>
      </c>
    </row>
    <row r="631" customFormat="1" s="1">
      <c r="C631" s="1" t="inlineStr">
        <is>
          <t xml:space="preserve">12205590            </t>
        </is>
      </c>
      <c r="D631" s="1" t="inlineStr">
        <is>
          <t>Кино. Театр. Музыка</t>
        </is>
      </c>
      <c r="E631" s="1" t="inlineStr">
        <is>
          <t>По следам античных чудовищ. Инаковость, страх и табу в современной массовой культуре. Глойн Э</t>
        </is>
      </c>
      <c r="F631" s="13" t="inlineStr">
        <is>
          <t>См.обл.</t>
        </is>
      </c>
      <c r="G631" s="1" t="inlineStr">
        <is>
          <t>Глойн Э</t>
        </is>
      </c>
      <c r="H631" s="1" t="inlineStr">
        <is>
          <t>84х108/32</t>
        </is>
      </c>
      <c r="I631" s="1" t="n">
        <v>432</v>
      </c>
      <c r="J631" s="1" t="inlineStr">
        <is>
          <t>РИПОЛ Классик</t>
        </is>
      </c>
      <c r="M631" s="1" t="inlineStr">
        <is>
          <t>2026</t>
        </is>
      </c>
      <c r="N631" s="1" t="inlineStr">
        <is>
          <t>П</t>
        </is>
      </c>
      <c r="O631" s="9" t="n">
        <v>10</v>
      </c>
      <c r="P631" s="1">
        <f>ROUNDUP(1100*(1-$F$3),2)</f>
        <v/>
      </c>
      <c r="Q631" s="1" t="inlineStr">
        <is>
          <t> </t>
        </is>
      </c>
      <c r="R631" s="1" t="inlineStr">
        <is>
          <t>978-5-386-15650-3</t>
        </is>
      </c>
      <c r="S631" s="1" t="inlineStr">
        <is>
          <t>9785386156503</t>
        </is>
      </c>
      <c r="T631" s="9" t="n">
        <v>22</v>
      </c>
      <c r="U631" s="1">
        <f>ROUNDUP(901.64*(1-$F$3),2)</f>
        <v/>
      </c>
      <c r="V631" s="1" t="n">
        <v>468</v>
      </c>
      <c r="Y631" s="1" t="inlineStr">
        <is>
          <t>По следам античных чудовищ. Инаковость, страх и табу в современной массовой культуре</t>
        </is>
      </c>
      <c r="Z631" s="1" t="inlineStr">
        <is>
          <t>18+</t>
        </is>
      </c>
      <c r="AA631" s="12" t="n">
        <v>46217</v>
      </c>
      <c r="AB631" s="1" t="inlineStr">
        <is>
          <t>Гуманитарные науки</t>
        </is>
      </c>
      <c r="AC631" s="1" t="inlineStr">
        <is>
          <t>Культура. Культурология</t>
        </is>
      </c>
      <c r="AD631" s="1" t="inlineStr">
        <is>
          <t>Культурология</t>
        </is>
      </c>
      <c r="AE631" s="1" t="inlineStr">
        <is>
          <t>офсетная</t>
        </is>
      </c>
      <c r="AG631" s="1" t="n">
        <v>12205590</v>
      </c>
      <c r="AI631" s="1" t="inlineStr">
        <is>
          <t>4901990000</t>
        </is>
      </c>
    </row>
    <row r="632" customFormat="1" s="1">
      <c r="C632" s="1" t="inlineStr">
        <is>
          <t xml:space="preserve">10165740            </t>
        </is>
      </c>
      <c r="D632" s="1" t="inlineStr">
        <is>
          <t>Кино. Театр. Музыка</t>
        </is>
      </c>
      <c r="E632" s="1" t="inlineStr">
        <is>
          <t>Юность на экране. Репрезентация молодых людей в кино и на телевидении. Бэкингем Д.</t>
        </is>
      </c>
      <c r="F632" s="13" t="inlineStr">
        <is>
          <t>См.обл.</t>
        </is>
      </c>
      <c r="G632" s="1" t="inlineStr">
        <is>
          <t>Бэкингем Д.</t>
        </is>
      </c>
      <c r="H632" s="1" t="inlineStr">
        <is>
          <t>84х108/32</t>
        </is>
      </c>
      <c r="I632" s="1" t="n">
        <v>384</v>
      </c>
      <c r="J632" s="1" t="inlineStr">
        <is>
          <t>РИПОЛ Классик</t>
        </is>
      </c>
      <c r="M632" s="1" t="inlineStr">
        <is>
          <t>2022</t>
        </is>
      </c>
      <c r="N632" s="1" t="inlineStr">
        <is>
          <t>П</t>
        </is>
      </c>
      <c r="O632" s="9" t="n">
        <v>8</v>
      </c>
      <c r="P632" s="1">
        <f>ROUNDUP(1090*(1-$F$3),2)</f>
        <v/>
      </c>
      <c r="Q632" s="1" t="inlineStr">
        <is>
          <t> </t>
        </is>
      </c>
      <c r="R632" s="1" t="inlineStr">
        <is>
          <t>978-5-386-14635-1</t>
        </is>
      </c>
      <c r="S632" s="1" t="inlineStr">
        <is>
          <t>9785386146351</t>
        </is>
      </c>
      <c r="T632" s="9" t="n">
        <v>22</v>
      </c>
      <c r="U632" s="1">
        <f>ROUNDUP(893.44*(1-$F$3),2)</f>
        <v/>
      </c>
      <c r="V632" s="1" t="n">
        <v>424</v>
      </c>
      <c r="Y632" s="1" t="inlineStr">
        <is>
          <t>Юность на экране. Репрезентация молодых людей в кино и на телевидении</t>
        </is>
      </c>
      <c r="Z632" s="1" t="inlineStr">
        <is>
          <t>18+</t>
        </is>
      </c>
      <c r="AA632" s="12" t="n">
        <v>44593</v>
      </c>
      <c r="AB632" s="1" t="inlineStr">
        <is>
          <t>Искусство</t>
        </is>
      </c>
      <c r="AC632" s="1" t="inlineStr">
        <is>
          <t>Музыка и зрелищные искусства</t>
        </is>
      </c>
      <c r="AD632" s="1" t="inlineStr">
        <is>
          <t>Кино. Мультипликация</t>
        </is>
      </c>
      <c r="AE632" s="1" t="inlineStr">
        <is>
          <t>офсетная</t>
        </is>
      </c>
      <c r="AG632" s="1" t="n">
        <v>10165740</v>
      </c>
      <c r="AI632" s="1" t="inlineStr">
        <is>
          <t>4901990000</t>
        </is>
      </c>
    </row>
    <row r="633" customFormat="1" s="1">
      <c r="C633" s="1" t="inlineStr">
        <is>
          <t xml:space="preserve">9139810             </t>
        </is>
      </c>
      <c r="D633" s="1" t="inlineStr">
        <is>
          <t>Кино_Театр</t>
        </is>
      </c>
      <c r="E633" s="1" t="inlineStr">
        <is>
          <t>Престижное удовольствие. Социально-философские интерпретации «сериального взрыва». Павлов А.В.</t>
        </is>
      </c>
      <c r="F633" s="13" t="inlineStr">
        <is>
          <t>См.обл.</t>
        </is>
      </c>
      <c r="G633" s="1" t="inlineStr">
        <is>
          <t>Павлов А.В.</t>
        </is>
      </c>
      <c r="H633" s="1" t="inlineStr">
        <is>
          <t>60х90/16</t>
        </is>
      </c>
      <c r="I633" s="1" t="n">
        <v>350</v>
      </c>
      <c r="J633" s="1" t="inlineStr">
        <is>
          <t>РИПОЛ Классик</t>
        </is>
      </c>
      <c r="K633" s="1" t="inlineStr">
        <is>
          <t>Панглосс</t>
        </is>
      </c>
      <c r="M633" s="1" t="inlineStr">
        <is>
          <t>2019</t>
        </is>
      </c>
      <c r="N633" s="1" t="inlineStr">
        <is>
          <t>О</t>
        </is>
      </c>
      <c r="O633" s="9" t="n">
        <v>10</v>
      </c>
      <c r="P633" s="1">
        <f>ROUNDUP(1020*(1-$F$3),2)</f>
        <v/>
      </c>
      <c r="Q633" s="1" t="inlineStr">
        <is>
          <t> </t>
        </is>
      </c>
      <c r="R633" s="1" t="inlineStr">
        <is>
          <t>978-5-386-12784-8</t>
        </is>
      </c>
      <c r="S633" s="1" t="inlineStr">
        <is>
          <t>9785386127848</t>
        </is>
      </c>
      <c r="T633" s="9" t="n">
        <v>10</v>
      </c>
      <c r="U633" s="1">
        <f>ROUNDUP(927.27*(1-$F$3),2)</f>
        <v/>
      </c>
      <c r="V633" s="1" t="n">
        <v>383</v>
      </c>
      <c r="Y633" s="1" t="inlineStr">
        <is>
          <t>Престижное удовольствие. Социально-философские интерпретации «сериального взрыва»</t>
        </is>
      </c>
      <c r="Z633" s="1" t="inlineStr">
        <is>
          <t>16+</t>
        </is>
      </c>
      <c r="AA633" s="12" t="n">
        <v>43742</v>
      </c>
      <c r="AB633" s="1" t="inlineStr">
        <is>
          <t>Гуманитарные науки</t>
        </is>
      </c>
      <c r="AC633" s="1" t="inlineStr">
        <is>
          <t>Культура. Культурология</t>
        </is>
      </c>
      <c r="AD633" s="1" t="inlineStr">
        <is>
          <t>Культурология</t>
        </is>
      </c>
      <c r="AE633" s="1" t="inlineStr">
        <is>
          <t>офсетная</t>
        </is>
      </c>
      <c r="AG633" s="1" t="n">
        <v>9139810</v>
      </c>
      <c r="AI633" s="1" t="inlineStr">
        <is>
          <t>4901990000</t>
        </is>
      </c>
      <c r="AJ633" s="1" t="inlineStr">
        <is>
          <t>Зпв</t>
        </is>
      </c>
    </row>
    <row r="634" customFormat="1" s="1">
      <c r="C634" s="1" t="inlineStr">
        <is>
          <t xml:space="preserve">11148920            </t>
        </is>
      </c>
      <c r="D634" s="1" t="inlineStr">
        <is>
          <t>Кинороман</t>
        </is>
      </c>
      <c r="E634" s="1" t="inlineStr">
        <is>
          <t>Мятежники. Алеников В.М.</t>
        </is>
      </c>
      <c r="F634" s="13" t="inlineStr">
        <is>
          <t>См.обл.</t>
        </is>
      </c>
      <c r="G634" s="1" t="inlineStr">
        <is>
          <t>Алеников В.М.</t>
        </is>
      </c>
      <c r="H634" s="1" t="inlineStr">
        <is>
          <t>60х90/16</t>
        </is>
      </c>
      <c r="I634" s="1" t="n">
        <v>256</v>
      </c>
      <c r="J634" s="1" t="inlineStr">
        <is>
          <t>РИПОЛ Классик</t>
        </is>
      </c>
      <c r="M634" s="1" t="inlineStr">
        <is>
          <t>2024</t>
        </is>
      </c>
      <c r="N634" s="1" t="inlineStr">
        <is>
          <t>П</t>
        </is>
      </c>
      <c r="O634" s="9" t="n">
        <v>14</v>
      </c>
      <c r="P634" s="1">
        <f>ROUNDUP(840*(1-$F$3),2)</f>
        <v/>
      </c>
      <c r="Q634" s="1" t="inlineStr">
        <is>
          <t> </t>
        </is>
      </c>
      <c r="R634" s="1" t="inlineStr">
        <is>
          <t>978-5-386-15116-4</t>
        </is>
      </c>
      <c r="S634" s="1" t="inlineStr">
        <is>
          <t>9785386151164</t>
        </is>
      </c>
      <c r="T634" s="9" t="n">
        <v>10</v>
      </c>
      <c r="U634" s="1">
        <f>ROUNDUP(763.64*(1-$F$3),2)</f>
        <v/>
      </c>
      <c r="V634" s="1" t="n">
        <v>299</v>
      </c>
      <c r="Y634" s="1" t="inlineStr">
        <is>
          <t>Мятежники</t>
        </is>
      </c>
      <c r="Z634" s="1" t="inlineStr">
        <is>
          <t>12+</t>
        </is>
      </c>
      <c r="AA634" s="12" t="n">
        <v>45251</v>
      </c>
      <c r="AB634" s="1" t="inlineStr">
        <is>
          <t>Художественная литература</t>
        </is>
      </c>
      <c r="AC634" s="1" t="inlineStr">
        <is>
          <t>Кинороманы. Новеллизация</t>
        </is>
      </c>
      <c r="AD634" s="1" t="inlineStr">
        <is>
          <t>Отечественные фильмы, игры</t>
        </is>
      </c>
      <c r="AE634" s="1" t="inlineStr">
        <is>
          <t>офсетная</t>
        </is>
      </c>
      <c r="AG634" s="1" t="n">
        <v>11148920</v>
      </c>
      <c r="AI634" s="1" t="inlineStr">
        <is>
          <t>4901990000</t>
        </is>
      </c>
    </row>
    <row r="635" customFormat="1" s="1">
      <c r="C635" s="1" t="inlineStr">
        <is>
          <t xml:space="preserve">11081870            </t>
        </is>
      </c>
      <c r="D635" s="1" t="inlineStr">
        <is>
          <t>Кинороман</t>
        </is>
      </c>
      <c r="E635" s="1" t="inlineStr">
        <is>
          <t>Пищеблок 2. Пронина А.</t>
        </is>
      </c>
      <c r="F635" s="13" t="inlineStr">
        <is>
          <t>См.обл.</t>
        </is>
      </c>
      <c r="G635" s="1" t="inlineStr">
        <is>
          <t>Пронина А.</t>
        </is>
      </c>
      <c r="H635" s="1" t="inlineStr">
        <is>
          <t>60х90/16</t>
        </is>
      </c>
      <c r="I635" s="1" t="n">
        <v>416</v>
      </c>
      <c r="J635" s="1" t="inlineStr">
        <is>
          <t>РИПОЛ Классик</t>
        </is>
      </c>
      <c r="M635" s="1" t="inlineStr">
        <is>
          <t>2026</t>
        </is>
      </c>
      <c r="N635" s="1" t="inlineStr">
        <is>
          <t>П</t>
        </is>
      </c>
      <c r="O635" s="9" t="n">
        <v>10</v>
      </c>
      <c r="P635" s="1">
        <f>ROUNDUP(1520*(1-$F$3),2)</f>
        <v/>
      </c>
      <c r="Q635" s="1" t="inlineStr">
        <is>
          <t> </t>
        </is>
      </c>
      <c r="R635" s="1" t="inlineStr">
        <is>
          <t>978-5-386-15102-7</t>
        </is>
      </c>
      <c r="S635" s="1" t="inlineStr">
        <is>
          <t>9785386151027</t>
        </is>
      </c>
      <c r="T635" s="9" t="n">
        <v>10</v>
      </c>
      <c r="U635" s="1">
        <f>ROUNDUP(1381.82*(1-$F$3),2)</f>
        <v/>
      </c>
      <c r="V635" s="1" t="n">
        <v>503</v>
      </c>
      <c r="Y635" s="1" t="inlineStr">
        <is>
          <t>Пищеблок 2</t>
        </is>
      </c>
      <c r="Z635" s="1" t="inlineStr">
        <is>
          <t>16+</t>
        </is>
      </c>
      <c r="AA635" s="12" t="n">
        <v>45225</v>
      </c>
      <c r="AB635" s="1" t="inlineStr">
        <is>
          <t>Художественная литература</t>
        </is>
      </c>
      <c r="AC635" s="1" t="inlineStr">
        <is>
          <t>Кинороманы. Новеллизация</t>
        </is>
      </c>
      <c r="AD635" s="1" t="inlineStr">
        <is>
          <t>Отечественные фильмы, игры</t>
        </is>
      </c>
      <c r="AE635" s="1" t="inlineStr">
        <is>
          <t>офсетная</t>
        </is>
      </c>
      <c r="AG635" s="1" t="n">
        <v>11081870</v>
      </c>
      <c r="AI635" s="1" t="inlineStr">
        <is>
          <t>4901990000</t>
        </is>
      </c>
    </row>
    <row r="636" customFormat="1" s="1">
      <c r="C636" s="1" t="inlineStr">
        <is>
          <t xml:space="preserve">11080320            </t>
        </is>
      </c>
      <c r="D636" s="1" t="inlineStr">
        <is>
          <t>Кинороман</t>
        </is>
      </c>
      <c r="E636" s="1" t="inlineStr">
        <is>
          <t>Пищеблок. Иванов А.В.</t>
        </is>
      </c>
      <c r="F636" s="13" t="inlineStr">
        <is>
          <t>См.обл.</t>
        </is>
      </c>
      <c r="G636" s="1" t="inlineStr">
        <is>
          <t>Иванов А.В.</t>
        </is>
      </c>
      <c r="H636" s="1" t="inlineStr">
        <is>
          <t>60х90/16</t>
        </is>
      </c>
      <c r="I636" s="1" t="n">
        <v>512</v>
      </c>
      <c r="J636" s="1" t="inlineStr">
        <is>
          <t>РИПОЛ Классик</t>
        </is>
      </c>
      <c r="M636" s="1" t="inlineStr">
        <is>
          <t>2025</t>
        </is>
      </c>
      <c r="N636" s="1" t="inlineStr">
        <is>
          <t>П</t>
        </is>
      </c>
      <c r="O636" s="9" t="n">
        <v>6</v>
      </c>
      <c r="P636" s="1">
        <f>ROUNDUP(1260*(1-$F$3),2)</f>
        <v/>
      </c>
      <c r="Q636" s="1" t="inlineStr">
        <is>
          <t> </t>
        </is>
      </c>
      <c r="R636" s="1" t="inlineStr">
        <is>
          <t>978-5-386-15099-0</t>
        </is>
      </c>
      <c r="S636" s="1" t="inlineStr">
        <is>
          <t>9785386150990</t>
        </is>
      </c>
      <c r="T636" s="9" t="n">
        <v>10</v>
      </c>
      <c r="U636" s="1">
        <f>ROUNDUP(1145.45*(1-$F$3),2)</f>
        <v/>
      </c>
      <c r="V636" s="1" t="n">
        <v>569</v>
      </c>
      <c r="Y636" s="1" t="inlineStr">
        <is>
          <t>Пищеблок</t>
        </is>
      </c>
      <c r="Z636" s="1" t="inlineStr">
        <is>
          <t>16+</t>
        </is>
      </c>
      <c r="AA636" s="12" t="n">
        <v>45225</v>
      </c>
      <c r="AB636" s="1" t="inlineStr">
        <is>
          <t>Художественная литература</t>
        </is>
      </c>
      <c r="AC636" s="1" t="inlineStr">
        <is>
          <t>Русская литература</t>
        </is>
      </c>
      <c r="AD636" s="1" t="inlineStr">
        <is>
          <t>Современная литература</t>
        </is>
      </c>
      <c r="AE636" s="1" t="inlineStr">
        <is>
          <t>офсетная</t>
        </is>
      </c>
      <c r="AG636" s="1" t="n">
        <v>11080320</v>
      </c>
      <c r="AI636" s="1" t="inlineStr">
        <is>
          <t>4901990000</t>
        </is>
      </c>
    </row>
    <row r="637" customFormat="1" s="1">
      <c r="C637" s="1" t="inlineStr">
        <is>
          <t xml:space="preserve">11327050            </t>
        </is>
      </c>
      <c r="D637" s="1" t="inlineStr">
        <is>
          <t>Кинороман</t>
        </is>
      </c>
      <c r="E637" s="1" t="inlineStr">
        <is>
          <t>Четыре четверти. Взрослая хроника школьной любви. Юк А.</t>
        </is>
      </c>
      <c r="F637" s="13" t="inlineStr">
        <is>
          <t>См.обл.</t>
        </is>
      </c>
      <c r="G637" s="1" t="inlineStr">
        <is>
          <t>Юк А.</t>
        </is>
      </c>
      <c r="H637" s="1" t="inlineStr">
        <is>
          <t>60х90/16</t>
        </is>
      </c>
      <c r="I637" s="1" t="n">
        <v>352</v>
      </c>
      <c r="J637" s="1" t="inlineStr">
        <is>
          <t>РИПОЛ Классик</t>
        </is>
      </c>
      <c r="M637" s="1" t="inlineStr">
        <is>
          <t>2025</t>
        </is>
      </c>
      <c r="N637" s="1" t="inlineStr">
        <is>
          <t>П</t>
        </is>
      </c>
      <c r="O637" s="9" t="n">
        <v>4</v>
      </c>
      <c r="P637" s="1">
        <f>ROUNDUP(1270*(1-$F$3),2)</f>
        <v/>
      </c>
      <c r="Q637" s="1" t="inlineStr">
        <is>
          <t> </t>
        </is>
      </c>
      <c r="R637" s="1" t="inlineStr">
        <is>
          <t>978-5-386-15175-1</t>
        </is>
      </c>
      <c r="S637" s="1" t="inlineStr">
        <is>
          <t>9785386151751</t>
        </is>
      </c>
      <c r="T637" s="9" t="n">
        <v>10</v>
      </c>
      <c r="U637" s="1">
        <f>ROUNDUP(1154.55*(1-$F$3),2)</f>
        <v/>
      </c>
      <c r="V637" s="1" t="n">
        <v>411</v>
      </c>
      <c r="Y637" s="1" t="inlineStr">
        <is>
          <t>Четыре четверти. Взрослая хроника школьной любви</t>
        </is>
      </c>
      <c r="Z637" s="1" t="inlineStr">
        <is>
          <t>12+</t>
        </is>
      </c>
      <c r="AA637" s="12" t="n">
        <v>45434</v>
      </c>
      <c r="AB637" s="1" t="inlineStr">
        <is>
          <t>Детская литература</t>
        </is>
      </c>
      <c r="AC637" s="1" t="inlineStr">
        <is>
          <t>Художественная литература</t>
        </is>
      </c>
      <c r="AD637" s="1" t="inlineStr">
        <is>
          <t>Проза. Драматургия</t>
        </is>
      </c>
      <c r="AE637" s="1" t="inlineStr">
        <is>
          <t>офсетная</t>
        </is>
      </c>
      <c r="AG637" s="1" t="n">
        <v>11327050</v>
      </c>
      <c r="AI637" s="1" t="inlineStr">
        <is>
          <t>4901990000</t>
        </is>
      </c>
    </row>
    <row r="638" customFormat="1" s="1">
      <c r="C638" s="1" t="inlineStr">
        <is>
          <t xml:space="preserve">11290250            </t>
        </is>
      </c>
      <c r="D638" s="1" t="inlineStr">
        <is>
          <t>Киносказки</t>
        </is>
      </c>
      <c r="E638" s="1" t="inlineStr">
        <is>
          <t>Время легенд. Кн. 2: Тайна Черного Книжника. Чунаев С., Верещагин А.</t>
        </is>
      </c>
      <c r="F638" s="13" t="inlineStr">
        <is>
          <t>См.обл.</t>
        </is>
      </c>
      <c r="G638" s="1" t="inlineStr">
        <is>
          <t>Чунаев С., Верещагин А.</t>
        </is>
      </c>
      <c r="H638" s="1" t="inlineStr">
        <is>
          <t>70х100/16</t>
        </is>
      </c>
      <c r="I638" s="1" t="n">
        <v>320</v>
      </c>
      <c r="J638" s="1" t="inlineStr">
        <is>
          <t>РИПОЛ Классик</t>
        </is>
      </c>
      <c r="M638" s="1" t="inlineStr">
        <is>
          <t>2024</t>
        </is>
      </c>
      <c r="N638" s="1" t="inlineStr">
        <is>
          <t>П</t>
        </is>
      </c>
      <c r="O638" s="9" t="n">
        <v>5</v>
      </c>
      <c r="P638" s="1">
        <f>ROUNDUP(2450*(1-$F$3),2)</f>
        <v/>
      </c>
      <c r="Q638" s="1" t="inlineStr">
        <is>
          <t> </t>
        </is>
      </c>
      <c r="R638" s="1" t="inlineStr">
        <is>
          <t>978-5-386-15156-0</t>
        </is>
      </c>
      <c r="S638" s="1" t="inlineStr">
        <is>
          <t>9785386151560</t>
        </is>
      </c>
      <c r="T638" s="9" t="n">
        <v>10</v>
      </c>
      <c r="U638" s="1">
        <f>ROUNDUP(2227.27*(1-$F$3),2)</f>
        <v/>
      </c>
      <c r="V638" s="1" t="n">
        <v>818</v>
      </c>
      <c r="Y638" s="1" t="inlineStr">
        <is>
          <t>Время легенд. Кн. 2: Тайна Черного Книжника</t>
        </is>
      </c>
      <c r="Z638" s="1" t="inlineStr">
        <is>
          <t>6 +</t>
        </is>
      </c>
      <c r="AA638" s="12" t="n">
        <v>45409</v>
      </c>
      <c r="AB638" s="1" t="inlineStr">
        <is>
          <t>Детская литература</t>
        </is>
      </c>
      <c r="AC638" s="1" t="inlineStr">
        <is>
          <t>Художественная литература</t>
        </is>
      </c>
      <c r="AD638" s="1" t="inlineStr">
        <is>
          <t>Литературная сказка</t>
        </is>
      </c>
      <c r="AE638" s="1" t="inlineStr">
        <is>
          <t>офсетная</t>
        </is>
      </c>
      <c r="AG638" s="1" t="n">
        <v>11290250</v>
      </c>
      <c r="AI638" s="1" t="inlineStr">
        <is>
          <t>4901990000</t>
        </is>
      </c>
    </row>
    <row r="639" customFormat="1" s="1">
      <c r="C639" s="1" t="inlineStr">
        <is>
          <t xml:space="preserve">9801240             </t>
        </is>
      </c>
      <c r="D639" s="1" t="inlineStr">
        <is>
          <t>Кладезь знаний</t>
        </is>
      </c>
      <c r="E639" s="1" t="inlineStr">
        <is>
          <t>Как решать кроссворды. Более 60 000 слов и толкований. Комарова И.И.</t>
        </is>
      </c>
      <c r="F639" s="13" t="inlineStr">
        <is>
          <t>См.обл.</t>
        </is>
      </c>
      <c r="G639" s="1" t="inlineStr">
        <is>
          <t>Комарова И.И.</t>
        </is>
      </c>
      <c r="H639" s="1" t="inlineStr">
        <is>
          <t>84х108/32</t>
        </is>
      </c>
      <c r="I639" s="1" t="n">
        <v>576</v>
      </c>
      <c r="J639" s="1" t="inlineStr">
        <is>
          <t>РИПОЛ Классик</t>
        </is>
      </c>
      <c r="M639" s="1" t="inlineStr">
        <is>
          <t>2021</t>
        </is>
      </c>
      <c r="N639" s="1" t="inlineStr">
        <is>
          <t>О</t>
        </is>
      </c>
      <c r="O639" s="9" t="n">
        <v>8</v>
      </c>
      <c r="P639" s="1">
        <f>ROUNDUP(630*(1-$F$3),2)</f>
        <v/>
      </c>
      <c r="Q639" s="1" t="inlineStr">
        <is>
          <t> </t>
        </is>
      </c>
      <c r="R639" s="1" t="inlineStr">
        <is>
          <t>978-5-386-14411-1</t>
        </is>
      </c>
      <c r="S639" s="1" t="inlineStr">
        <is>
          <t>9785386144111</t>
        </is>
      </c>
      <c r="T639" s="9" t="n">
        <v>10</v>
      </c>
      <c r="U639" s="1">
        <f>ROUNDUP(572.73*(1-$F$3),2)</f>
        <v/>
      </c>
      <c r="V639" s="1" t="n">
        <v>331</v>
      </c>
      <c r="Y639" s="1" t="inlineStr">
        <is>
          <t>Как решать кроссворды. Более 60 000 слов и толкований</t>
        </is>
      </c>
      <c r="Z639" s="1" t="inlineStr">
        <is>
          <t>16+</t>
        </is>
      </c>
      <c r="AA639" s="12" t="n">
        <v>44483</v>
      </c>
      <c r="AB639" s="1" t="inlineStr">
        <is>
          <t>Дом. Быт. Досуг</t>
        </is>
      </c>
      <c r="AC639" s="1" t="inlineStr">
        <is>
          <t>Хобби. Отдых. Праздники</t>
        </is>
      </c>
      <c r="AD639" s="1" t="inlineStr">
        <is>
          <t>Игры. Развлечения</t>
        </is>
      </c>
      <c r="AE639" s="1" t="inlineStr">
        <is>
          <t>газетная</t>
        </is>
      </c>
      <c r="AG639" s="1" t="n">
        <v>9801240</v>
      </c>
      <c r="AI639" s="1" t="inlineStr">
        <is>
          <t>4901990000</t>
        </is>
      </c>
    </row>
    <row r="640" customFormat="1" s="1">
      <c r="C640" s="1" t="inlineStr">
        <is>
          <t xml:space="preserve">11066360            </t>
        </is>
      </c>
      <c r="D640" s="1" t="inlineStr">
        <is>
          <t>Классика жанра</t>
        </is>
      </c>
      <c r="E640" s="1" t="inlineStr">
        <is>
          <t>Безбилетный пассажир. Данелия Г.Н.</t>
        </is>
      </c>
      <c r="F640" s="13" t="inlineStr">
        <is>
          <t>См.обл.</t>
        </is>
      </c>
      <c r="G640" s="1" t="inlineStr">
        <is>
          <t>Данелия Г.Н.</t>
        </is>
      </c>
      <c r="H640" s="1" t="inlineStr">
        <is>
          <t>60х90/16</t>
        </is>
      </c>
      <c r="I640" s="1" t="n">
        <v>480</v>
      </c>
      <c r="J640" s="1" t="inlineStr">
        <is>
          <t>РИПОЛ Классик</t>
        </is>
      </c>
      <c r="M640" s="1" t="inlineStr">
        <is>
          <t>2026</t>
        </is>
      </c>
      <c r="N640" s="1" t="inlineStr">
        <is>
          <t>П</t>
        </is>
      </c>
      <c r="O640" s="9" t="n">
        <v>12</v>
      </c>
      <c r="P640" s="1">
        <f>ROUNDUP(1360*(1-$F$3),2)</f>
        <v/>
      </c>
      <c r="Q640" s="1" t="inlineStr">
        <is>
          <t> </t>
        </is>
      </c>
      <c r="R640" s="1" t="inlineStr">
        <is>
          <t>978-5-386-15075-4</t>
        </is>
      </c>
      <c r="S640" s="1" t="inlineStr">
        <is>
          <t>9785386150754</t>
        </is>
      </c>
      <c r="T640" s="9" t="n">
        <v>10</v>
      </c>
      <c r="U640" s="1">
        <f>ROUNDUP(1236.36*(1-$F$3),2)</f>
        <v/>
      </c>
      <c r="V640" s="1" t="n">
        <v>557</v>
      </c>
      <c r="Y640" s="1" t="inlineStr">
        <is>
          <t>Безбилетный пассажир</t>
        </is>
      </c>
      <c r="Z640" s="1" t="inlineStr">
        <is>
          <t>16+</t>
        </is>
      </c>
      <c r="AA640" s="12" t="n">
        <v>45215</v>
      </c>
      <c r="AB640" s="1" t="inlineStr">
        <is>
          <t>Художественно-документальная проза</t>
        </is>
      </c>
      <c r="AC640" s="1" t="inlineStr">
        <is>
          <t>Биографии. Мемуары</t>
        </is>
      </c>
      <c r="AD640" s="1" t="inlineStr">
        <is>
          <t>Воспоминания. Дневники. Письма</t>
        </is>
      </c>
      <c r="AE640" s="1" t="inlineStr">
        <is>
          <t>офсетная</t>
        </is>
      </c>
      <c r="AG640" s="1" t="n">
        <v>11066360</v>
      </c>
      <c r="AI640" s="1" t="inlineStr">
        <is>
          <t>4901990000</t>
        </is>
      </c>
    </row>
    <row r="641" customFormat="1" s="1">
      <c r="C641" s="1" t="inlineStr">
        <is>
          <t xml:space="preserve">8195320             </t>
        </is>
      </c>
      <c r="D641" s="1" t="inlineStr">
        <is>
          <t>Классика жанра</t>
        </is>
      </c>
      <c r="E641" s="1" t="inlineStr">
        <is>
          <t>Жаркий сезон: роман (пер.). Лайвли П</t>
        </is>
      </c>
      <c r="F641" s="13" t="inlineStr">
        <is>
          <t>См.обл.</t>
        </is>
      </c>
      <c r="G641" s="1" t="inlineStr">
        <is>
          <t>Лайвли П</t>
        </is>
      </c>
      <c r="H641" s="1" t="inlineStr">
        <is>
          <t>60х90/16</t>
        </is>
      </c>
      <c r="I641" s="1" t="n">
        <v>272</v>
      </c>
      <c r="J641" s="1" t="inlineStr">
        <is>
          <t>РИПОЛ Классик</t>
        </is>
      </c>
      <c r="M641" s="1" t="inlineStr">
        <is>
          <t>2017</t>
        </is>
      </c>
      <c r="N641" s="1" t="inlineStr">
        <is>
          <t>П</t>
        </is>
      </c>
      <c r="O641" s="9" t="n">
        <v>14</v>
      </c>
      <c r="P641" s="1">
        <f>ROUNDUP(996.3*(1-$F$3),2)</f>
        <v/>
      </c>
      <c r="Q641" s="1" t="inlineStr">
        <is>
          <t> </t>
        </is>
      </c>
      <c r="R641" s="1" t="inlineStr">
        <is>
          <t>978-5-386-10002-5</t>
        </is>
      </c>
      <c r="S641" s="1" t="inlineStr">
        <is>
          <t>9785386100025</t>
        </is>
      </c>
      <c r="T641" s="9" t="n">
        <v>10</v>
      </c>
      <c r="U641" s="1">
        <f>ROUNDUP(905.73*(1-$F$3),2)</f>
        <v/>
      </c>
      <c r="V641" s="1" t="n">
        <v>396</v>
      </c>
      <c r="Y641" s="1" t="inlineStr">
        <is>
          <t>Жаркий сезон: роман (пер.)</t>
        </is>
      </c>
      <c r="Z641" s="1" t="inlineStr">
        <is>
          <t>16+</t>
        </is>
      </c>
      <c r="AA641" s="12" t="n">
        <v>42908</v>
      </c>
      <c r="AB641" s="1" t="inlineStr">
        <is>
          <t>Художественная литература</t>
        </is>
      </c>
      <c r="AC641" s="1" t="inlineStr">
        <is>
          <t>Зарубежная литература</t>
        </is>
      </c>
      <c r="AD641" s="1" t="inlineStr">
        <is>
          <t>Европейская литература</t>
        </is>
      </c>
      <c r="AE641" s="1" t="inlineStr">
        <is>
          <t> </t>
        </is>
      </c>
      <c r="AG641" s="1" t="n">
        <v>8195320</v>
      </c>
      <c r="AI641" s="1" t="inlineStr">
        <is>
          <t>4901990000</t>
        </is>
      </c>
    </row>
    <row r="642" customFormat="1" s="1">
      <c r="C642" s="1" t="inlineStr">
        <is>
          <t xml:space="preserve">8235900             </t>
        </is>
      </c>
      <c r="D642" s="1" t="inlineStr">
        <is>
          <t>Классика жанра</t>
        </is>
      </c>
      <c r="E642" s="1" t="inlineStr">
        <is>
          <t>Из бездны. Вальгрен К.-Й</t>
        </is>
      </c>
      <c r="F642" s="13" t="inlineStr">
        <is>
          <t>См.обл.</t>
        </is>
      </c>
      <c r="G642" s="1" t="inlineStr">
        <is>
          <t>Вальгрен К.-Й</t>
        </is>
      </c>
      <c r="H642" s="1" t="inlineStr">
        <is>
          <t>60х90/16</t>
        </is>
      </c>
      <c r="I642" s="1" t="n">
        <v>256</v>
      </c>
      <c r="J642" s="1" t="inlineStr">
        <is>
          <t>РИПОЛ Классик</t>
        </is>
      </c>
      <c r="M642" s="1" t="inlineStr">
        <is>
          <t>2017</t>
        </is>
      </c>
      <c r="N642" s="1" t="inlineStr">
        <is>
          <t>П</t>
        </is>
      </c>
      <c r="O642" s="9" t="n">
        <v>50</v>
      </c>
      <c r="P642" s="1">
        <f>ROUNDUP(1150*(1-$F$3),2)</f>
        <v/>
      </c>
      <c r="Q642" s="1" t="inlineStr">
        <is>
          <t> </t>
        </is>
      </c>
      <c r="R642" s="1" t="inlineStr">
        <is>
          <t>978-5-386-09914-5</t>
        </is>
      </c>
      <c r="S642" s="1" t="inlineStr">
        <is>
          <t>9785386099145</t>
        </is>
      </c>
      <c r="T642" s="9" t="n">
        <v>10</v>
      </c>
      <c r="U642" s="1">
        <f>ROUNDUP(1045.45*(1-$F$3),2)</f>
        <v/>
      </c>
      <c r="V642" s="1" t="n">
        <v>377</v>
      </c>
      <c r="Y642" s="1" t="inlineStr">
        <is>
          <t>Из бездны</t>
        </is>
      </c>
      <c r="Z642" s="1" t="inlineStr">
        <is>
          <t>18+</t>
        </is>
      </c>
      <c r="AA642" s="12" t="n">
        <v>42956</v>
      </c>
      <c r="AB642" s="1" t="inlineStr">
        <is>
          <t>Художественная литература</t>
        </is>
      </c>
      <c r="AC642" s="1" t="inlineStr">
        <is>
          <t>Зарубежная литература</t>
        </is>
      </c>
      <c r="AD642" s="1" t="inlineStr">
        <is>
          <t>Европейская литература</t>
        </is>
      </c>
      <c r="AE642" s="1" t="inlineStr">
        <is>
          <t>офсетная</t>
        </is>
      </c>
      <c r="AG642" s="1" t="n">
        <v>8235900</v>
      </c>
      <c r="AI642" s="1" t="inlineStr">
        <is>
          <t>4901990000</t>
        </is>
      </c>
      <c r="AJ642" s="1" t="inlineStr">
        <is>
          <t>Зпв</t>
        </is>
      </c>
    </row>
    <row r="643" customFormat="1" s="1">
      <c r="C643" s="1" t="inlineStr">
        <is>
          <t xml:space="preserve">11066370            </t>
        </is>
      </c>
      <c r="D643" s="1" t="inlineStr">
        <is>
          <t>Классика жанра</t>
        </is>
      </c>
      <c r="E643" s="1" t="inlineStr">
        <is>
          <t>Кот ушел, а улыбка осталась. Данелия Г.Н.</t>
        </is>
      </c>
      <c r="F643" s="13" t="inlineStr">
        <is>
          <t>См.обл.</t>
        </is>
      </c>
      <c r="G643" s="1" t="inlineStr">
        <is>
          <t>Данелия Г.Н.</t>
        </is>
      </c>
      <c r="H643" s="1" t="inlineStr">
        <is>
          <t>60х90/16</t>
        </is>
      </c>
      <c r="I643" s="1" t="n">
        <v>416</v>
      </c>
      <c r="J643" s="1" t="inlineStr">
        <is>
          <t>РИПОЛ Классик</t>
        </is>
      </c>
      <c r="M643" s="1" t="inlineStr">
        <is>
          <t>2026</t>
        </is>
      </c>
      <c r="N643" s="1" t="inlineStr">
        <is>
          <t>П</t>
        </is>
      </c>
      <c r="O643" s="9" t="n">
        <v>10</v>
      </c>
      <c r="P643" s="1">
        <f>ROUNDUP(1450*(1-$F$3),2)</f>
        <v/>
      </c>
      <c r="Q643" s="1" t="inlineStr">
        <is>
          <t> </t>
        </is>
      </c>
      <c r="R643" s="1" t="inlineStr">
        <is>
          <t>978-5-386-15077-8</t>
        </is>
      </c>
      <c r="S643" s="1" t="inlineStr">
        <is>
          <t>9785386150778</t>
        </is>
      </c>
      <c r="T643" s="9" t="n">
        <v>10</v>
      </c>
      <c r="U643" s="1">
        <f>ROUNDUP(1318.18*(1-$F$3),2)</f>
        <v/>
      </c>
      <c r="V643" s="1" t="n">
        <v>509</v>
      </c>
      <c r="Y643" s="1" t="inlineStr">
        <is>
          <t>Кот ушел, а улыбка осталась</t>
        </is>
      </c>
      <c r="Z643" s="1" t="inlineStr">
        <is>
          <t>16+</t>
        </is>
      </c>
      <c r="AA643" s="12" t="n">
        <v>45215</v>
      </c>
      <c r="AB643" s="1" t="inlineStr">
        <is>
          <t>Художественно-документальная проза</t>
        </is>
      </c>
      <c r="AC643" s="1" t="inlineStr">
        <is>
          <t>Биографии. Мемуары</t>
        </is>
      </c>
      <c r="AD643" s="1" t="inlineStr">
        <is>
          <t>Воспоминания. Дневники. Письма</t>
        </is>
      </c>
      <c r="AE643" s="1" t="inlineStr">
        <is>
          <t>офсетная</t>
        </is>
      </c>
      <c r="AG643" s="1" t="n">
        <v>11066370</v>
      </c>
      <c r="AI643" s="1" t="inlineStr">
        <is>
          <t>4901990000</t>
        </is>
      </c>
    </row>
    <row r="644" customFormat="1" s="1">
      <c r="C644" s="1" t="inlineStr">
        <is>
          <t xml:space="preserve">11641980            </t>
        </is>
      </c>
      <c r="D644" s="1" t="inlineStr">
        <is>
          <t>Классика жанра</t>
        </is>
      </c>
      <c r="E644" s="1" t="inlineStr">
        <is>
          <t>Кошмар на цыпочках. Данелия Г.Н.</t>
        </is>
      </c>
      <c r="F644" s="13" t="inlineStr">
        <is>
          <t>См.обл.</t>
        </is>
      </c>
      <c r="G644" s="1" t="inlineStr">
        <is>
          <t>Данелия Г.Н.</t>
        </is>
      </c>
      <c r="H644" s="1" t="inlineStr">
        <is>
          <t>60х90/16</t>
        </is>
      </c>
      <c r="I644" s="1" t="n">
        <v>752</v>
      </c>
      <c r="J644" s="1" t="inlineStr">
        <is>
          <t>РИПОЛ Классик</t>
        </is>
      </c>
      <c r="M644" s="1" t="inlineStr">
        <is>
          <t>2026</t>
        </is>
      </c>
      <c r="N644" s="1" t="inlineStr">
        <is>
          <t>П</t>
        </is>
      </c>
      <c r="O644" s="9" t="n">
        <v>4</v>
      </c>
      <c r="P644" s="1">
        <f>ROUNDUP(1550*(1-$F$3),2)</f>
        <v/>
      </c>
      <c r="Q644" s="1" t="inlineStr">
        <is>
          <t> </t>
        </is>
      </c>
      <c r="R644" s="1" t="inlineStr">
        <is>
          <t>978-5-386-15402-8</t>
        </is>
      </c>
      <c r="S644" s="1" t="inlineStr">
        <is>
          <t>9785386154028</t>
        </is>
      </c>
      <c r="T644" s="9" t="n">
        <v>10</v>
      </c>
      <c r="U644" s="1">
        <f>ROUNDUP(1409.09*(1-$F$3),2)</f>
        <v/>
      </c>
      <c r="V644" s="1" t="n">
        <v>812</v>
      </c>
      <c r="Y644" s="1" t="inlineStr">
        <is>
          <t>Кошмар на цыпочках</t>
        </is>
      </c>
      <c r="Z644" s="1" t="inlineStr">
        <is>
          <t>16+</t>
        </is>
      </c>
      <c r="AA644" s="12" t="n">
        <v>45718</v>
      </c>
      <c r="AB644" s="1" t="inlineStr">
        <is>
          <t>Художественная литература</t>
        </is>
      </c>
      <c r="AC644" s="1" t="inlineStr">
        <is>
          <t>Русская литература</t>
        </is>
      </c>
      <c r="AD644" s="1" t="inlineStr">
        <is>
          <t>Современная литература</t>
        </is>
      </c>
      <c r="AE644" s="1" t="inlineStr">
        <is>
          <t>офсетная</t>
        </is>
      </c>
      <c r="AG644" s="1" t="n">
        <v>11641980</v>
      </c>
      <c r="AI644" s="1" t="inlineStr">
        <is>
          <t>4901990000</t>
        </is>
      </c>
    </row>
    <row r="645" customFormat="1" s="1">
      <c r="C645" s="1" t="inlineStr">
        <is>
          <t xml:space="preserve">11650520            </t>
        </is>
      </c>
      <c r="D645" s="1" t="inlineStr">
        <is>
          <t>Классика жанра</t>
        </is>
      </c>
      <c r="E645" s="1" t="inlineStr">
        <is>
          <t>На Большом Каретном. Высоцкий В.С.</t>
        </is>
      </c>
      <c r="F645" s="13" t="inlineStr">
        <is>
          <t>См.обл.</t>
        </is>
      </c>
      <c r="G645" s="1" t="inlineStr">
        <is>
          <t>Высоцкий В.С.</t>
        </is>
      </c>
      <c r="H645" s="1" t="inlineStr">
        <is>
          <t>60х90/16</t>
        </is>
      </c>
      <c r="I645" s="1" t="n">
        <v>592</v>
      </c>
      <c r="J645" s="1" t="inlineStr">
        <is>
          <t>РИПОЛ Классик</t>
        </is>
      </c>
      <c r="M645" s="1" t="inlineStr">
        <is>
          <t>2025</t>
        </is>
      </c>
      <c r="N645" s="1" t="inlineStr">
        <is>
          <t>П</t>
        </is>
      </c>
      <c r="O645" s="9" t="n">
        <v>6</v>
      </c>
      <c r="P645" s="1">
        <f>ROUNDUP(1210*(1-$F$3),2)</f>
        <v/>
      </c>
      <c r="Q645" s="1" t="inlineStr">
        <is>
          <t> </t>
        </is>
      </c>
      <c r="R645" s="1" t="inlineStr">
        <is>
          <t>978-5-386-15320-5</t>
        </is>
      </c>
      <c r="S645" s="1" t="inlineStr">
        <is>
          <t>9785386153205</t>
        </is>
      </c>
      <c r="T645" s="9" t="n">
        <v>10</v>
      </c>
      <c r="U645" s="1">
        <f>ROUNDUP(1100*(1-$F$3),2)</f>
        <v/>
      </c>
      <c r="V645" s="1" t="n">
        <v>644</v>
      </c>
      <c r="Y645" s="1" t="inlineStr">
        <is>
          <t>На Большом Каретном</t>
        </is>
      </c>
      <c r="Z645" s="1" t="inlineStr">
        <is>
          <t>16+</t>
        </is>
      </c>
      <c r="AA645" s="12" t="n">
        <v>45733</v>
      </c>
      <c r="AB645" s="1" t="inlineStr">
        <is>
          <t>Художественная литература</t>
        </is>
      </c>
      <c r="AC645" s="1" t="inlineStr">
        <is>
          <t>Поэзия</t>
        </is>
      </c>
      <c r="AD645" s="1" t="inlineStr">
        <is>
          <t>Русская поэзия</t>
        </is>
      </c>
      <c r="AE645" s="1" t="inlineStr">
        <is>
          <t>офсетная</t>
        </is>
      </c>
      <c r="AG645" s="1" t="n">
        <v>11650520</v>
      </c>
      <c r="AI645" s="1" t="inlineStr">
        <is>
          <t>4901990000</t>
        </is>
      </c>
    </row>
    <row r="646" customFormat="1" s="1">
      <c r="C646" s="1" t="inlineStr">
        <is>
          <t xml:space="preserve">11066380            </t>
        </is>
      </c>
      <c r="D646" s="1" t="inlineStr">
        <is>
          <t>Классика жанра</t>
        </is>
      </c>
      <c r="E646" s="1" t="inlineStr">
        <is>
          <t>Тостуемый пьет до дна. Данелия Г.Н.</t>
        </is>
      </c>
      <c r="F646" s="13" t="inlineStr">
        <is>
          <t>См.обл.</t>
        </is>
      </c>
      <c r="G646" s="1" t="inlineStr">
        <is>
          <t>Данелия Г.Н.</t>
        </is>
      </c>
      <c r="H646" s="1" t="inlineStr">
        <is>
          <t>60х90/16</t>
        </is>
      </c>
      <c r="I646" s="1" t="n">
        <v>416</v>
      </c>
      <c r="J646" s="1" t="inlineStr">
        <is>
          <t>РИПОЛ Классик</t>
        </is>
      </c>
      <c r="M646" s="1" t="inlineStr">
        <is>
          <t>2026</t>
        </is>
      </c>
      <c r="N646" s="1" t="inlineStr">
        <is>
          <t>П</t>
        </is>
      </c>
      <c r="O646" s="9" t="n">
        <v>10</v>
      </c>
      <c r="P646" s="1">
        <f>ROUNDUP(1390*(1-$F$3),2)</f>
        <v/>
      </c>
      <c r="Q646" s="1" t="inlineStr">
        <is>
          <t> </t>
        </is>
      </c>
      <c r="R646" s="1" t="inlineStr">
        <is>
          <t>978-5-386-15076-1</t>
        </is>
      </c>
      <c r="S646" s="1" t="inlineStr">
        <is>
          <t>9785386150761</t>
        </is>
      </c>
      <c r="T646" s="9" t="n">
        <v>10</v>
      </c>
      <c r="U646" s="1">
        <f>ROUNDUP(1263.64*(1-$F$3),2)</f>
        <v/>
      </c>
      <c r="V646" s="1" t="n">
        <v>497</v>
      </c>
      <c r="Y646" s="1" t="inlineStr">
        <is>
          <t>Тостуемый пьет до дна</t>
        </is>
      </c>
      <c r="Z646" s="1" t="inlineStr">
        <is>
          <t>16+</t>
        </is>
      </c>
      <c r="AA646" s="12" t="n">
        <v>45215</v>
      </c>
      <c r="AB646" s="1" t="inlineStr">
        <is>
          <t>Художественно-документальная проза</t>
        </is>
      </c>
      <c r="AC646" s="1" t="inlineStr">
        <is>
          <t>Биографии. Мемуары</t>
        </is>
      </c>
      <c r="AD646" s="1" t="inlineStr">
        <is>
          <t>Воспоминания. Дневники. Письма</t>
        </is>
      </c>
      <c r="AE646" s="1" t="inlineStr">
        <is>
          <t>офсетная</t>
        </is>
      </c>
      <c r="AG646" s="1" t="n">
        <v>11066380</v>
      </c>
      <c r="AI646" s="1" t="inlineStr">
        <is>
          <t>4901990000</t>
        </is>
      </c>
    </row>
    <row r="647" customFormat="1" s="1">
      <c r="C647" s="1" t="inlineStr">
        <is>
          <t xml:space="preserve">8825380             </t>
        </is>
      </c>
      <c r="D647" s="1" t="inlineStr">
        <is>
          <t>Классики без глянца</t>
        </is>
      </c>
      <c r="E647" s="1" t="inlineStr">
        <is>
          <t>Блок без глянца. Фокин П.</t>
        </is>
      </c>
      <c r="F647" s="13" t="inlineStr">
        <is>
          <t>См.обл.</t>
        </is>
      </c>
      <c r="G647" s="1" t="inlineStr">
        <is>
          <t>Фокин П.</t>
        </is>
      </c>
      <c r="H647" s="1" t="inlineStr">
        <is>
          <t>84х108/32</t>
        </is>
      </c>
      <c r="I647" s="1" t="n">
        <v>432</v>
      </c>
      <c r="J647" s="1" t="inlineStr">
        <is>
          <t>РИПОЛ Классик</t>
        </is>
      </c>
      <c r="K647" s="1" t="inlineStr">
        <is>
          <t>Пальмира</t>
        </is>
      </c>
      <c r="M647" s="1" t="inlineStr">
        <is>
          <t>2021</t>
        </is>
      </c>
      <c r="N647" s="1" t="inlineStr">
        <is>
          <t>О</t>
        </is>
      </c>
      <c r="O647" s="9" t="n">
        <v>100</v>
      </c>
      <c r="P647" s="1">
        <f>ROUNDUP(1178*(1-$F$3),2)</f>
        <v/>
      </c>
      <c r="Q647" s="1" t="inlineStr">
        <is>
          <t> </t>
        </is>
      </c>
      <c r="R647" s="1" t="inlineStr">
        <is>
          <t>978-5-386-12275-1</t>
        </is>
      </c>
      <c r="S647" s="1" t="inlineStr">
        <is>
          <t>9785386122751</t>
        </is>
      </c>
      <c r="T647" s="9" t="n">
        <v>10</v>
      </c>
      <c r="U647" s="1">
        <f>ROUNDUP(1070.91*(1-$F$3),2)</f>
        <v/>
      </c>
      <c r="V647" s="1" t="n">
        <v>389</v>
      </c>
      <c r="Y647" s="1" t="inlineStr">
        <is>
          <t>Блок без глянца</t>
        </is>
      </c>
      <c r="Z647" s="1" t="inlineStr">
        <is>
          <t>12+</t>
        </is>
      </c>
      <c r="AA647" s="12" t="n">
        <v>43404</v>
      </c>
      <c r="AB647" s="1" t="inlineStr">
        <is>
          <t>Художественно-документальная проза</t>
        </is>
      </c>
      <c r="AC647" s="1" t="inlineStr">
        <is>
          <t>Биографии. Мемуары</t>
        </is>
      </c>
      <c r="AD647" s="1" t="inlineStr">
        <is>
          <t>Воспоминания. Дневники. Письма</t>
        </is>
      </c>
      <c r="AE647" s="1" t="inlineStr">
        <is>
          <t>офсетная</t>
        </is>
      </c>
      <c r="AG647" s="1" t="n">
        <v>8825380</v>
      </c>
      <c r="AI647" s="1" t="inlineStr">
        <is>
          <t>4901990000</t>
        </is>
      </c>
    </row>
    <row r="648" customFormat="1" s="1">
      <c r="C648" s="1" t="inlineStr">
        <is>
          <t xml:space="preserve">8825370             </t>
        </is>
      </c>
      <c r="D648" s="1" t="inlineStr">
        <is>
          <t>Классики без глянца</t>
        </is>
      </c>
      <c r="E648" s="1" t="inlineStr">
        <is>
          <t>Бунин без глянца. Фокин П.Е., Сыроватко Л.В.</t>
        </is>
      </c>
      <c r="F648" s="13" t="inlineStr">
        <is>
          <t>См.обл.</t>
        </is>
      </c>
      <c r="G648" s="1" t="inlineStr">
        <is>
          <t>Фокин П.Е., Сыроватко Л.В.</t>
        </is>
      </c>
      <c r="H648" s="1" t="inlineStr">
        <is>
          <t>84х108/32</t>
        </is>
      </c>
      <c r="I648" s="1" t="n">
        <v>384</v>
      </c>
      <c r="J648" s="1" t="inlineStr">
        <is>
          <t>РИПОЛ Классик</t>
        </is>
      </c>
      <c r="K648" s="1" t="inlineStr">
        <is>
          <t>Пальмира</t>
        </is>
      </c>
      <c r="M648" s="1" t="inlineStr">
        <is>
          <t>2026</t>
        </is>
      </c>
      <c r="N648" s="1" t="inlineStr">
        <is>
          <t>О</t>
        </is>
      </c>
      <c r="O648" s="9" t="n">
        <v>10</v>
      </c>
      <c r="P648" s="1">
        <f>ROUNDUP(1104.2*(1-$F$3),2)</f>
        <v/>
      </c>
      <c r="Q648" s="1" t="inlineStr">
        <is>
          <t> </t>
        </is>
      </c>
      <c r="R648" s="1" t="inlineStr">
        <is>
          <t>978-5-386-12274-4</t>
        </is>
      </c>
      <c r="S648" s="1" t="inlineStr">
        <is>
          <t>9785386122744</t>
        </is>
      </c>
      <c r="T648" s="9" t="n">
        <v>10</v>
      </c>
      <c r="U648" s="1">
        <f>ROUNDUP(1003.82*(1-$F$3),2)</f>
        <v/>
      </c>
      <c r="V648" s="1" t="n">
        <v>306</v>
      </c>
      <c r="Y648" s="1" t="inlineStr">
        <is>
          <t>Бунин без глянца</t>
        </is>
      </c>
      <c r="Z648" s="1" t="inlineStr">
        <is>
          <t>12+</t>
        </is>
      </c>
      <c r="AA648" s="12" t="n">
        <v>43404</v>
      </c>
      <c r="AB648" s="1" t="inlineStr">
        <is>
          <t>Художественно-документальная проза</t>
        </is>
      </c>
      <c r="AC648" s="1" t="inlineStr">
        <is>
          <t>Биографии. Мемуары</t>
        </is>
      </c>
      <c r="AD648" s="1" t="inlineStr">
        <is>
          <t>Биографии деятелей культуры и искусства</t>
        </is>
      </c>
      <c r="AE648" s="1" t="inlineStr">
        <is>
          <t>офсетная</t>
        </is>
      </c>
      <c r="AG648" s="1" t="n">
        <v>8825370</v>
      </c>
      <c r="AI648" s="1" t="inlineStr">
        <is>
          <t>4901990000</t>
        </is>
      </c>
    </row>
    <row r="649" customFormat="1" s="1">
      <c r="C649" s="1" t="inlineStr">
        <is>
          <t xml:space="preserve">8871480             </t>
        </is>
      </c>
      <c r="D649" s="1" t="inlineStr">
        <is>
          <t>Классики без глянца</t>
        </is>
      </c>
      <c r="E649" s="1" t="inlineStr">
        <is>
          <t>Гумилев без глянца. Сост. Фокин П.Е.</t>
        </is>
      </c>
      <c r="F649" s="13" t="inlineStr">
        <is>
          <t>См.обл.</t>
        </is>
      </c>
      <c r="G649" s="1" t="inlineStr">
        <is>
          <t>Сост. Фокин П.Е.</t>
        </is>
      </c>
      <c r="H649" s="1" t="inlineStr">
        <is>
          <t>84х108/32</t>
        </is>
      </c>
      <c r="I649" s="1" t="n">
        <v>477</v>
      </c>
      <c r="J649" s="1" t="inlineStr">
        <is>
          <t>РИПОЛ Классик</t>
        </is>
      </c>
      <c r="K649" s="1" t="inlineStr">
        <is>
          <t>Пальмира</t>
        </is>
      </c>
      <c r="M649" s="1" t="inlineStr">
        <is>
          <t>2026</t>
        </is>
      </c>
      <c r="N649" s="1" t="inlineStr">
        <is>
          <t>О</t>
        </is>
      </c>
      <c r="O649" s="9" t="n">
        <v>8</v>
      </c>
      <c r="P649" s="1">
        <f>ROUNDUP(1060*(1-$F$3),2)</f>
        <v/>
      </c>
      <c r="Q649" s="1" t="inlineStr">
        <is>
          <t> </t>
        </is>
      </c>
      <c r="R649" s="1" t="inlineStr">
        <is>
          <t>978-5-386-12332-1</t>
        </is>
      </c>
      <c r="S649" s="1" t="inlineStr">
        <is>
          <t>9785386123321</t>
        </is>
      </c>
      <c r="T649" s="9" t="n">
        <v>10</v>
      </c>
      <c r="U649" s="1">
        <f>ROUNDUP(963.64*(1-$F$3),2)</f>
        <v/>
      </c>
      <c r="V649" s="1" t="n">
        <v>379</v>
      </c>
      <c r="Y649" s="1" t="inlineStr">
        <is>
          <t>Гумилев без глянца</t>
        </is>
      </c>
      <c r="Z649" s="1" t="inlineStr">
        <is>
          <t>12+</t>
        </is>
      </c>
      <c r="AA649" s="12" t="n">
        <v>43446</v>
      </c>
      <c r="AB649" s="1" t="inlineStr">
        <is>
          <t>Художественно-документальная проза</t>
        </is>
      </c>
      <c r="AC649" s="1" t="inlineStr">
        <is>
          <t>Биографии. Мемуары</t>
        </is>
      </c>
      <c r="AD649" s="1" t="inlineStr">
        <is>
          <t>Воспоминания. Дневники. Письма</t>
        </is>
      </c>
      <c r="AE649" s="1" t="inlineStr">
        <is>
          <t>офсетная</t>
        </is>
      </c>
      <c r="AG649" s="1" t="n">
        <v>8871480</v>
      </c>
      <c r="AI649" s="1" t="inlineStr">
        <is>
          <t>4901990000</t>
        </is>
      </c>
    </row>
    <row r="650" customFormat="1" s="1">
      <c r="C650" s="1" t="inlineStr">
        <is>
          <t xml:space="preserve">8858380             </t>
        </is>
      </c>
      <c r="D650" s="1" t="inlineStr">
        <is>
          <t>Классики без глянца</t>
        </is>
      </c>
      <c r="E650" s="1" t="inlineStr">
        <is>
          <t>Цветаева без глянца. Сост. Фокин П.Е.</t>
        </is>
      </c>
      <c r="F650" s="13" t="inlineStr">
        <is>
          <t>См.обл.</t>
        </is>
      </c>
      <c r="G650" s="1" t="inlineStr">
        <is>
          <t>Сост. Фокин П.Е.</t>
        </is>
      </c>
      <c r="H650" s="1" t="inlineStr">
        <is>
          <t>84х108/32</t>
        </is>
      </c>
      <c r="I650" s="1" t="n">
        <v>716</v>
      </c>
      <c r="J650" s="1" t="inlineStr">
        <is>
          <t>РИПОЛ Классик</t>
        </is>
      </c>
      <c r="K650" s="1" t="inlineStr">
        <is>
          <t>Пальмира</t>
        </is>
      </c>
      <c r="M650" s="1" t="inlineStr">
        <is>
          <t>2020</t>
        </is>
      </c>
      <c r="N650" s="1" t="inlineStr">
        <is>
          <t>О</t>
        </is>
      </c>
      <c r="O650" s="9" t="n">
        <v>8</v>
      </c>
      <c r="P650" s="1">
        <f>ROUNDUP(1325.3*(1-$F$3),2)</f>
        <v/>
      </c>
      <c r="Q650" s="1" t="inlineStr">
        <is>
          <t> </t>
        </is>
      </c>
      <c r="R650" s="1" t="inlineStr">
        <is>
          <t>978-5-386-12362-8</t>
        </is>
      </c>
      <c r="S650" s="1" t="inlineStr">
        <is>
          <t>9785386123628</t>
        </is>
      </c>
      <c r="T650" s="9" t="n">
        <v>10</v>
      </c>
      <c r="U650" s="1">
        <f>ROUNDUP(1204.82*(1-$F$3),2)</f>
        <v/>
      </c>
      <c r="V650" s="1" t="n">
        <v>631</v>
      </c>
      <c r="Y650" s="1" t="inlineStr">
        <is>
          <t>Цветаева без глянца</t>
        </is>
      </c>
      <c r="Z650" s="1" t="inlineStr">
        <is>
          <t>12+</t>
        </is>
      </c>
      <c r="AA650" s="12" t="n">
        <v>43434</v>
      </c>
      <c r="AB650" s="1" t="inlineStr">
        <is>
          <t>Художественно-документальная проза</t>
        </is>
      </c>
      <c r="AC650" s="1" t="inlineStr">
        <is>
          <t>Биографии. Мемуары</t>
        </is>
      </c>
      <c r="AD650" s="1" t="inlineStr">
        <is>
          <t>Воспоминания. Дневники. Письма</t>
        </is>
      </c>
      <c r="AE650" s="1" t="inlineStr">
        <is>
          <t>офсетная</t>
        </is>
      </c>
      <c r="AG650" s="1" t="n">
        <v>8858380</v>
      </c>
      <c r="AI650" s="1" t="inlineStr">
        <is>
          <t>4901990000</t>
        </is>
      </c>
    </row>
    <row r="651" customFormat="1" s="1">
      <c r="C651" s="1" t="inlineStr">
        <is>
          <t>316767</t>
        </is>
      </c>
      <c r="D651" s="1" t="inlineStr">
        <is>
          <t>Книги Дж.Грина</t>
        </is>
      </c>
      <c r="E651" s="1" t="inlineStr">
        <is>
          <t>Многочисленные Катерины. Грин Дж.</t>
        </is>
      </c>
      <c r="F651" s="13" t="inlineStr">
        <is>
          <t>См.обл.</t>
        </is>
      </c>
      <c r="G651" s="1" t="inlineStr">
        <is>
          <t>Грин Дж.</t>
        </is>
      </c>
      <c r="H651" s="1" t="inlineStr">
        <is>
          <t>60х90/16</t>
        </is>
      </c>
      <c r="I651" s="1" t="n">
        <v>256</v>
      </c>
      <c r="J651" s="1" t="inlineStr">
        <is>
          <t>РИПОЛ Классик</t>
        </is>
      </c>
      <c r="M651" s="1" t="inlineStr">
        <is>
          <t>2016</t>
        </is>
      </c>
      <c r="N651" s="1" t="inlineStr">
        <is>
          <t>П</t>
        </is>
      </c>
      <c r="O651" s="9" t="n">
        <v>16</v>
      </c>
      <c r="P651" s="1">
        <f>ROUNDUP(1023.9*(1-$F$3),2)</f>
        <v/>
      </c>
      <c r="Q651" s="1" t="inlineStr">
        <is>
          <t> </t>
        </is>
      </c>
      <c r="R651" s="1" t="inlineStr">
        <is>
          <t>978-5-386-08058-7</t>
        </is>
      </c>
      <c r="S651" s="1" t="inlineStr">
        <is>
          <t>9785386080587</t>
        </is>
      </c>
      <c r="T651" s="9" t="n">
        <v>10</v>
      </c>
      <c r="U651" s="1">
        <f>ROUNDUP(930.82*(1-$F$3),2)</f>
        <v/>
      </c>
      <c r="V651" s="1" t="n">
        <v>377</v>
      </c>
      <c r="W651" s="1" t="inlineStr">
        <is>
          <t xml:space="preserve">611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651" s="1" t="inlineStr">
        <is>
          <t xml:space="preserve">Зарубежная проза                                                                                                                </t>
        </is>
      </c>
      <c r="Y651" s="1" t="inlineStr">
        <is>
          <t>Многочисленные Катерины</t>
        </is>
      </c>
      <c r="Z651" s="1" t="inlineStr">
        <is>
          <t>16+</t>
        </is>
      </c>
      <c r="AA651" s="12" t="n">
        <v>42065</v>
      </c>
      <c r="AB651" s="1" t="inlineStr">
        <is>
          <t>Художественная литература</t>
        </is>
      </c>
      <c r="AC651" s="1" t="inlineStr">
        <is>
          <t>Зарубежная литература</t>
        </is>
      </c>
      <c r="AD651" s="1" t="inlineStr">
        <is>
          <t>Литература Америки и Австралии</t>
        </is>
      </c>
      <c r="AE651" s="1" t="inlineStr">
        <is>
          <t> </t>
        </is>
      </c>
      <c r="AG651" s="1" t="n">
        <v>6727220</v>
      </c>
      <c r="AI651" s="1" t="inlineStr">
        <is>
          <t>4901990000</t>
        </is>
      </c>
    </row>
    <row r="652" customFormat="1" s="1">
      <c r="C652" s="1" t="inlineStr">
        <is>
          <t xml:space="preserve">10239750            </t>
        </is>
      </c>
      <c r="D652" s="1" t="inlineStr">
        <is>
          <t>Книги из детства</t>
        </is>
      </c>
      <c r="E652" s="1" t="inlineStr">
        <is>
          <t>Приключения Петрова и Васечкина. Алеников В.М.</t>
        </is>
      </c>
      <c r="F652" s="13" t="inlineStr">
        <is>
          <t>См.обл.</t>
        </is>
      </c>
      <c r="G652" s="1" t="inlineStr">
        <is>
          <t>Алеников В.М.</t>
        </is>
      </c>
      <c r="H652" s="1" t="inlineStr">
        <is>
          <t>84х108/32</t>
        </is>
      </c>
      <c r="I652" s="1" t="n">
        <v>304</v>
      </c>
      <c r="J652" s="1" t="inlineStr">
        <is>
          <t>РИПОЛ Классик</t>
        </is>
      </c>
      <c r="K652" s="1" t="inlineStr">
        <is>
          <t>RUGRAM_РИПОЛ Классик</t>
        </is>
      </c>
      <c r="M652" s="1" t="inlineStr">
        <is>
          <t>2026</t>
        </is>
      </c>
      <c r="N652" s="1" t="inlineStr">
        <is>
          <t>П</t>
        </is>
      </c>
      <c r="O652" s="9" t="n">
        <v>10</v>
      </c>
      <c r="P652" s="1">
        <f>ROUNDUP(990*(1-$F$3),2)</f>
        <v/>
      </c>
      <c r="Q652" s="1" t="inlineStr">
        <is>
          <t> </t>
        </is>
      </c>
      <c r="R652" s="1" t="inlineStr">
        <is>
          <t>978-5-386-14657-3</t>
        </is>
      </c>
      <c r="S652" s="1" t="inlineStr">
        <is>
          <t>9785386146573</t>
        </is>
      </c>
      <c r="T652" s="9" t="n">
        <v>10</v>
      </c>
      <c r="U652" s="1">
        <f>ROUNDUP(900*(1-$F$3),2)</f>
        <v/>
      </c>
      <c r="V652" s="1" t="n">
        <v>283</v>
      </c>
      <c r="Y652" s="1" t="inlineStr">
        <is>
          <t>Приключения Петрова и Васечкина</t>
        </is>
      </c>
      <c r="Z652" s="1" t="inlineStr">
        <is>
          <t>6 +</t>
        </is>
      </c>
      <c r="AA652" s="12" t="n">
        <v>44640</v>
      </c>
      <c r="AB652" s="1" t="inlineStr">
        <is>
          <t>Детская литература</t>
        </is>
      </c>
      <c r="AC652" s="1" t="inlineStr">
        <is>
          <t>Художественная литература</t>
        </is>
      </c>
      <c r="AD652" s="1" t="inlineStr">
        <is>
          <t>Приключения</t>
        </is>
      </c>
      <c r="AE652" s="1" t="inlineStr">
        <is>
          <t>офсетная</t>
        </is>
      </c>
      <c r="AG652" s="1" t="n">
        <v>10239750</v>
      </c>
      <c r="AI652" s="1" t="inlineStr">
        <is>
          <t>4901990000</t>
        </is>
      </c>
    </row>
    <row r="653" customFormat="1" s="1">
      <c r="C653" s="1" t="inlineStr">
        <is>
          <t xml:space="preserve">8899130             </t>
        </is>
      </c>
      <c r="D653" s="1" t="inlineStr">
        <is>
          <t>Книги С. Кларка</t>
        </is>
      </c>
      <c r="E653" s="1" t="inlineStr">
        <is>
          <t>Разговор с улиткой. Кларк С.</t>
        </is>
      </c>
      <c r="F653" s="13" t="inlineStr">
        <is>
          <t>См.обл.</t>
        </is>
      </c>
      <c r="G653" s="1" t="inlineStr">
        <is>
          <t>Кларк С.</t>
        </is>
      </c>
      <c r="H653" s="1" t="inlineStr">
        <is>
          <t>84х108/32</t>
        </is>
      </c>
      <c r="I653" s="1" t="n">
        <v>287</v>
      </c>
      <c r="J653" s="1" t="inlineStr">
        <is>
          <t>РИПОЛ Классик</t>
        </is>
      </c>
      <c r="M653" s="1" t="inlineStr">
        <is>
          <t>2019</t>
        </is>
      </c>
      <c r="N653" s="1" t="inlineStr">
        <is>
          <t>П</t>
        </is>
      </c>
      <c r="O653" s="9" t="n">
        <v>10</v>
      </c>
      <c r="P653" s="1">
        <f>ROUNDUP(958.5*(1-$F$3),2)</f>
        <v/>
      </c>
      <c r="Q653" s="1" t="inlineStr">
        <is>
          <t> </t>
        </is>
      </c>
      <c r="R653" s="1" t="inlineStr">
        <is>
          <t>978-5-386-12280-5</t>
        </is>
      </c>
      <c r="S653" s="1" t="inlineStr">
        <is>
          <t>9785386122805</t>
        </is>
      </c>
      <c r="T653" s="9" t="n">
        <v>10</v>
      </c>
      <c r="U653" s="1">
        <f>ROUNDUP(871.36*(1-$F$3),2)</f>
        <v/>
      </c>
      <c r="V653" s="1" t="n">
        <v>354</v>
      </c>
      <c r="Y653" s="1" t="inlineStr">
        <is>
          <t>Разговор с улиткой</t>
        </is>
      </c>
      <c r="Z653" s="1" t="inlineStr">
        <is>
          <t>16+</t>
        </is>
      </c>
      <c r="AA653" s="12" t="n">
        <v>43486</v>
      </c>
      <c r="AB653" s="1" t="inlineStr">
        <is>
          <t>Художественная литература</t>
        </is>
      </c>
      <c r="AC653" s="1" t="inlineStr">
        <is>
          <t>Юмор. Афоризмы</t>
        </is>
      </c>
      <c r="AD653" s="1" t="inlineStr">
        <is>
          <t>Юмор и сатира</t>
        </is>
      </c>
      <c r="AE653" s="1" t="inlineStr">
        <is>
          <t>офсетная</t>
        </is>
      </c>
      <c r="AG653" s="1" t="n">
        <v>8899130</v>
      </c>
      <c r="AI653" s="1" t="inlineStr">
        <is>
          <t>4901990000</t>
        </is>
      </c>
    </row>
    <row r="654" customFormat="1" s="1">
      <c r="C654" s="1" t="inlineStr">
        <is>
          <t xml:space="preserve">9688000             </t>
        </is>
      </c>
      <c r="D654" s="1" t="inlineStr">
        <is>
          <t>Книги-легенды</t>
        </is>
      </c>
      <c r="E654" s="1" t="inlineStr">
        <is>
          <t>Алиса в Зазеркалье. Кэрролл Л.</t>
        </is>
      </c>
      <c r="F654" s="13" t="inlineStr">
        <is>
          <t>См.обл.</t>
        </is>
      </c>
      <c r="G654" s="1" t="inlineStr">
        <is>
          <t>Кэрролл Л.</t>
        </is>
      </c>
      <c r="H654" s="1" t="inlineStr">
        <is>
          <t>84х108/32</t>
        </is>
      </c>
      <c r="I654" s="1" t="n">
        <v>224</v>
      </c>
      <c r="J654" s="1" t="inlineStr">
        <is>
          <t>РИПОЛ Классик</t>
        </is>
      </c>
      <c r="M654" s="1" t="inlineStr">
        <is>
          <t>2026</t>
        </is>
      </c>
      <c r="N654" s="1" t="inlineStr">
        <is>
          <t>П</t>
        </is>
      </c>
      <c r="O654" s="9" t="n">
        <v>12</v>
      </c>
      <c r="P654" s="1">
        <f>ROUNDUP(942*(1-$F$3),2)</f>
        <v/>
      </c>
      <c r="Q654" s="1" t="inlineStr">
        <is>
          <t> </t>
        </is>
      </c>
      <c r="R654" s="1" t="inlineStr">
        <is>
          <t>978-5-386-14079-3</t>
        </is>
      </c>
      <c r="S654" s="1" t="inlineStr">
        <is>
          <t>9785386140793</t>
        </is>
      </c>
      <c r="T654" s="9" t="n">
        <v>10</v>
      </c>
      <c r="U654" s="1">
        <f>ROUNDUP(856.36*(1-$F$3),2)</f>
        <v/>
      </c>
      <c r="V654" s="1" t="n">
        <v>281</v>
      </c>
      <c r="Y654" s="1" t="inlineStr">
        <is>
          <t>Алиса в Зазеркалье</t>
        </is>
      </c>
      <c r="Z654" s="1" t="inlineStr">
        <is>
          <t>12+</t>
        </is>
      </c>
      <c r="AA654" s="12" t="n">
        <v>44287</v>
      </c>
      <c r="AB654" s="1" t="inlineStr">
        <is>
          <t>Детская литература</t>
        </is>
      </c>
      <c r="AC654" s="1" t="inlineStr">
        <is>
          <t>Художественная литература</t>
        </is>
      </c>
      <c r="AD654" s="1" t="inlineStr">
        <is>
          <t>Литературная сказка</t>
        </is>
      </c>
      <c r="AE654" s="1" t="inlineStr">
        <is>
          <t>офсетная</t>
        </is>
      </c>
      <c r="AG654" s="1" t="n">
        <v>9688000</v>
      </c>
      <c r="AI654" s="1" t="inlineStr">
        <is>
          <t>4901990000</t>
        </is>
      </c>
    </row>
    <row r="655" customFormat="1" s="1">
      <c r="C655" s="1" t="inlineStr">
        <is>
          <t xml:space="preserve">9514810             </t>
        </is>
      </c>
      <c r="D655" s="1" t="inlineStr">
        <is>
          <t>Книжный клуб Риз Уизерспун</t>
        </is>
      </c>
      <c r="E655" s="1" t="inlineStr">
        <is>
          <t>Когда мы виделись в последний раз. Лив Константин</t>
        </is>
      </c>
      <c r="F655" s="13" t="inlineStr">
        <is>
          <t>См.обл.</t>
        </is>
      </c>
      <c r="G655" s="1" t="inlineStr">
        <is>
          <t>Лив Константин</t>
        </is>
      </c>
      <c r="H655" s="1" t="inlineStr">
        <is>
          <t>60х90/16</t>
        </is>
      </c>
      <c r="I655" s="1" t="n">
        <v>384</v>
      </c>
      <c r="J655" s="1" t="inlineStr">
        <is>
          <t>РИПОЛ Классик</t>
        </is>
      </c>
      <c r="M655" s="1" t="inlineStr">
        <is>
          <t>2020</t>
        </is>
      </c>
      <c r="N655" s="1" t="inlineStr">
        <is>
          <t>П</t>
        </is>
      </c>
      <c r="O655" s="9" t="n">
        <v>8</v>
      </c>
      <c r="P655" s="1">
        <f>ROUNDUP(1160*(1-$F$3),2)</f>
        <v/>
      </c>
      <c r="Q655" s="1" t="inlineStr">
        <is>
          <t> </t>
        </is>
      </c>
      <c r="R655" s="1" t="inlineStr">
        <is>
          <t>978-5-386-13769-4</t>
        </is>
      </c>
      <c r="S655" s="1" t="inlineStr">
        <is>
          <t>9785386137694</t>
        </is>
      </c>
      <c r="T655" s="9" t="n">
        <v>10</v>
      </c>
      <c r="U655" s="1">
        <f>ROUNDUP(1054.55*(1-$F$3),2)</f>
        <v/>
      </c>
      <c r="V655" s="1" t="n">
        <v>565</v>
      </c>
      <c r="Y655" s="1" t="inlineStr">
        <is>
          <t>Когда мы виделись в последний раз</t>
        </is>
      </c>
      <c r="Z655" s="1" t="inlineStr">
        <is>
          <t>16+</t>
        </is>
      </c>
      <c r="AA655" s="12" t="n">
        <v>44111</v>
      </c>
      <c r="AB655" s="1" t="inlineStr">
        <is>
          <t>Художественная литература</t>
        </is>
      </c>
      <c r="AC655" s="1" t="inlineStr">
        <is>
          <t>Зарубежная литература</t>
        </is>
      </c>
      <c r="AD655" s="1" t="inlineStr">
        <is>
          <t>Литература Америки и Австралии</t>
        </is>
      </c>
      <c r="AE655" s="1" t="inlineStr">
        <is>
          <t>офсетная</t>
        </is>
      </c>
      <c r="AG655" s="1" t="n">
        <v>9514810</v>
      </c>
      <c r="AI655" s="1" t="inlineStr">
        <is>
          <t>4901990000</t>
        </is>
      </c>
    </row>
    <row r="656" customFormat="1" s="1">
      <c r="C656" s="1" t="inlineStr">
        <is>
          <t xml:space="preserve">8558720             </t>
        </is>
      </c>
      <c r="D656" s="1" t="inlineStr">
        <is>
          <t>Кнут и пряник</t>
        </is>
      </c>
      <c r="E656" s="1" t="inlineStr">
        <is>
          <t>48 законов власти (полная версия). Грин Р.</t>
        </is>
      </c>
      <c r="F656" s="13" t="inlineStr">
        <is>
          <t>См.обл.</t>
        </is>
      </c>
      <c r="G656" s="1" t="inlineStr">
        <is>
          <t>Грин Р.</t>
        </is>
      </c>
      <c r="H656" s="1" t="inlineStr">
        <is>
          <t>84х108/32</t>
        </is>
      </c>
      <c r="I656" s="1" t="n">
        <v>768</v>
      </c>
      <c r="J656" s="1" t="inlineStr">
        <is>
          <t>РИПОЛ Классик</t>
        </is>
      </c>
      <c r="M656" s="1" t="inlineStr">
        <is>
          <t>2026</t>
        </is>
      </c>
      <c r="N656" s="1" t="inlineStr">
        <is>
          <t>П</t>
        </is>
      </c>
      <c r="O656" s="9" t="n">
        <v>6</v>
      </c>
      <c r="P656" s="1">
        <f>ROUNDUP(1160*(1-$F$3),2)</f>
        <v/>
      </c>
      <c r="Q656" s="1" t="inlineStr">
        <is>
          <t> </t>
        </is>
      </c>
      <c r="R656" s="1" t="inlineStr">
        <is>
          <t>978-5-386-10701-7</t>
        </is>
      </c>
      <c r="S656" s="1" t="inlineStr">
        <is>
          <t>9785386107017</t>
        </is>
      </c>
      <c r="T656" s="9" t="n">
        <v>10</v>
      </c>
      <c r="U656" s="1">
        <f>ROUNDUP(1054.55*(1-$F$3),2)</f>
        <v/>
      </c>
      <c r="V656" s="1" t="n">
        <v>551</v>
      </c>
      <c r="Y656" s="1" t="inlineStr">
        <is>
          <t>48 законов власти (полная версия)</t>
        </is>
      </c>
      <c r="Z656" s="1" t="inlineStr">
        <is>
          <t>16+</t>
        </is>
      </c>
      <c r="AA656" s="12" t="n">
        <v>43190</v>
      </c>
      <c r="AB656" s="1" t="inlineStr">
        <is>
          <t>Общественные науки</t>
        </is>
      </c>
      <c r="AC656" s="1" t="inlineStr">
        <is>
          <t>Политика</t>
        </is>
      </c>
      <c r="AD656" s="1" t="inlineStr">
        <is>
          <t>Государственное управление. Власть</t>
        </is>
      </c>
      <c r="AE656" s="1" t="inlineStr">
        <is>
          <t>газетная</t>
        </is>
      </c>
      <c r="AG656" s="1" t="n">
        <v>8558720</v>
      </c>
      <c r="AI656" s="1" t="inlineStr">
        <is>
          <t>4901990000</t>
        </is>
      </c>
    </row>
    <row r="657" customFormat="1" s="1">
      <c r="C657" s="1" t="inlineStr">
        <is>
          <t xml:space="preserve">9801180             </t>
        </is>
      </c>
      <c r="D657" s="1" t="inlineStr">
        <is>
          <t>Кнут и пряник</t>
        </is>
      </c>
      <c r="E657" s="1" t="inlineStr">
        <is>
          <t>Воспоминания о будущем. Хазин М.Л.</t>
        </is>
      </c>
      <c r="F657" s="13" t="inlineStr">
        <is>
          <t>См.обл.</t>
        </is>
      </c>
      <c r="G657" s="1" t="inlineStr">
        <is>
          <t>Хазин М.Л.</t>
        </is>
      </c>
      <c r="H657" s="1" t="inlineStr">
        <is>
          <t>84х108/32</t>
        </is>
      </c>
      <c r="I657" s="1" t="n">
        <v>464</v>
      </c>
      <c r="J657" s="1" t="inlineStr">
        <is>
          <t>РИПОЛ Классик</t>
        </is>
      </c>
      <c r="M657" s="1" t="inlineStr">
        <is>
          <t>2025</t>
        </is>
      </c>
      <c r="N657" s="1" t="inlineStr">
        <is>
          <t>П</t>
        </is>
      </c>
      <c r="O657" s="9" t="n">
        <v>10</v>
      </c>
      <c r="P657" s="1">
        <f>ROUNDUP(1000*(1-$F$3),2)</f>
        <v/>
      </c>
      <c r="Q657" s="1" t="inlineStr">
        <is>
          <t> </t>
        </is>
      </c>
      <c r="R657" s="1" t="inlineStr">
        <is>
          <t>978-5-386-14462-3</t>
        </is>
      </c>
      <c r="S657" s="1" t="inlineStr">
        <is>
          <t>9785386144623</t>
        </is>
      </c>
      <c r="T657" s="9" t="n">
        <v>10</v>
      </c>
      <c r="U657" s="1">
        <f>ROUNDUP(909.09*(1-$F$3),2)</f>
        <v/>
      </c>
      <c r="V657" s="1" t="n">
        <v>364</v>
      </c>
      <c r="Y657" s="1" t="inlineStr">
        <is>
          <t>Воспоминания о будущем</t>
        </is>
      </c>
      <c r="Z657" s="1" t="inlineStr">
        <is>
          <t>16+</t>
        </is>
      </c>
      <c r="AA657" s="12" t="n">
        <v>44448</v>
      </c>
      <c r="AB657" s="1" t="inlineStr">
        <is>
          <t>Экономика. Экономические науки</t>
        </is>
      </c>
      <c r="AC657" s="1" t="inlineStr">
        <is>
          <t>Экономика</t>
        </is>
      </c>
      <c r="AD657" s="1" t="inlineStr">
        <is>
          <t>Экономическая теория</t>
        </is>
      </c>
      <c r="AE657" s="1" t="inlineStr">
        <is>
          <t>офсетная</t>
        </is>
      </c>
      <c r="AG657" s="1" t="n">
        <v>9801180</v>
      </c>
      <c r="AI657" s="1" t="inlineStr">
        <is>
          <t>4901990000</t>
        </is>
      </c>
    </row>
    <row r="658" customFormat="1" s="1">
      <c r="C658" s="1" t="inlineStr">
        <is>
          <t xml:space="preserve">8943040             </t>
        </is>
      </c>
      <c r="D658" s="1" t="inlineStr">
        <is>
          <t>Кнут и пряник</t>
        </is>
      </c>
      <c r="E658" s="1" t="inlineStr">
        <is>
          <t>Левиафан. Гоббс Т.</t>
        </is>
      </c>
      <c r="F658" s="13" t="inlineStr">
        <is>
          <t>См.обл.</t>
        </is>
      </c>
      <c r="G658" s="1" t="inlineStr">
        <is>
          <t>Гоббс Т.</t>
        </is>
      </c>
      <c r="H658" s="1" t="inlineStr">
        <is>
          <t>84х108/32</t>
        </is>
      </c>
      <c r="I658" s="1" t="n">
        <v>624</v>
      </c>
      <c r="J658" s="1" t="inlineStr">
        <is>
          <t>РИПОЛ Классик</t>
        </is>
      </c>
      <c r="M658" s="1" t="inlineStr">
        <is>
          <t>2025</t>
        </is>
      </c>
      <c r="N658" s="1" t="inlineStr">
        <is>
          <t>П</t>
        </is>
      </c>
      <c r="O658" s="9" t="n">
        <v>10</v>
      </c>
      <c r="P658" s="1">
        <f>ROUNDUP(1260*(1-$F$3),2)</f>
        <v/>
      </c>
      <c r="Q658" s="1" t="inlineStr">
        <is>
          <t> </t>
        </is>
      </c>
      <c r="R658" s="1" t="inlineStr">
        <is>
          <t>978-5-386-13354-2</t>
        </is>
      </c>
      <c r="S658" s="1" t="inlineStr">
        <is>
          <t>9785386133542</t>
        </is>
      </c>
      <c r="T658" s="9" t="n">
        <v>10</v>
      </c>
      <c r="U658" s="1">
        <f>ROUNDUP(1145.45*(1-$F$3),2)</f>
        <v/>
      </c>
      <c r="V658" s="1" t="n">
        <v>472</v>
      </c>
      <c r="Y658" s="1" t="inlineStr">
        <is>
          <t>Левиафан</t>
        </is>
      </c>
      <c r="Z658" s="1" t="inlineStr">
        <is>
          <t>12+</t>
        </is>
      </c>
      <c r="AA658" s="12" t="n">
        <v>43521</v>
      </c>
      <c r="AB658" s="1" t="inlineStr">
        <is>
          <t>Гуманитарные науки</t>
        </is>
      </c>
      <c r="AC658" s="1" t="inlineStr">
        <is>
          <t>Философские науки</t>
        </is>
      </c>
      <c r="AD658" s="1" t="inlineStr">
        <is>
          <t>Философия в целом. Труды</t>
        </is>
      </c>
      <c r="AE658" s="1" t="inlineStr">
        <is>
          <t>офсетная</t>
        </is>
      </c>
      <c r="AG658" s="1" t="n">
        <v>8943040</v>
      </c>
      <c r="AI658" s="1" t="inlineStr">
        <is>
          <t>4901990000</t>
        </is>
      </c>
    </row>
    <row r="659" customFormat="1" s="1">
      <c r="C659" s="1" t="inlineStr">
        <is>
          <t xml:space="preserve">9258140             </t>
        </is>
      </c>
      <c r="D659" s="1" t="inlineStr">
        <is>
          <t>Кнут и пряник new</t>
        </is>
      </c>
      <c r="E659" s="1" t="inlineStr">
        <is>
          <t>24 закона обольщения. Грин Р.</t>
        </is>
      </c>
      <c r="F659" s="13" t="inlineStr">
        <is>
          <t>См.обл.</t>
        </is>
      </c>
      <c r="G659" s="1" t="inlineStr">
        <is>
          <t>Грин Р.</t>
        </is>
      </c>
      <c r="H659" s="1" t="inlineStr">
        <is>
          <t>84х108/32</t>
        </is>
      </c>
      <c r="I659" s="1" t="n">
        <v>800</v>
      </c>
      <c r="J659" s="1" t="inlineStr">
        <is>
          <t>РИПОЛ Классик</t>
        </is>
      </c>
      <c r="M659" s="1" t="inlineStr">
        <is>
          <t>2026</t>
        </is>
      </c>
      <c r="N659" s="1" t="inlineStr">
        <is>
          <t>П</t>
        </is>
      </c>
      <c r="O659" s="9" t="n">
        <v>6</v>
      </c>
      <c r="P659" s="1">
        <f>ROUNDUP(1199*(1-$F$3),2)</f>
        <v/>
      </c>
      <c r="Q659" s="1" t="inlineStr">
        <is>
          <t> </t>
        </is>
      </c>
      <c r="R659" s="1" t="inlineStr">
        <is>
          <t>978-5-386-13543-0</t>
        </is>
      </c>
      <c r="S659" s="1" t="inlineStr">
        <is>
          <t>9785386135430</t>
        </is>
      </c>
      <c r="T659" s="9" t="n">
        <v>10</v>
      </c>
      <c r="U659" s="1">
        <f>ROUNDUP(1090*(1-$F$3),2)</f>
        <v/>
      </c>
      <c r="V659" s="1" t="n">
        <v>553</v>
      </c>
      <c r="Y659" s="1" t="inlineStr">
        <is>
          <t>24 закона обольщения</t>
        </is>
      </c>
      <c r="Z659" s="1" t="inlineStr">
        <is>
          <t>16+</t>
        </is>
      </c>
      <c r="AA659" s="12" t="n">
        <v>43864</v>
      </c>
      <c r="AB659" s="1" t="inlineStr">
        <is>
          <t>Гуманитарные науки</t>
        </is>
      </c>
      <c r="AC659" s="1" t="inlineStr">
        <is>
          <t>Психология</t>
        </is>
      </c>
      <c r="AD659" s="1" t="inlineStr">
        <is>
          <t>Социальная психология. Психология отношений. Коммуникации</t>
        </is>
      </c>
      <c r="AE659" s="1" t="inlineStr">
        <is>
          <t>офсетная</t>
        </is>
      </c>
      <c r="AG659" s="1" t="n">
        <v>9258140</v>
      </c>
      <c r="AI659" s="1" t="inlineStr">
        <is>
          <t>4901990000</t>
        </is>
      </c>
    </row>
    <row r="660" customFormat="1" s="1">
      <c r="C660" s="1" t="inlineStr">
        <is>
          <t xml:space="preserve">9258180             </t>
        </is>
      </c>
      <c r="D660" s="1" t="inlineStr">
        <is>
          <t>Кнут и пряник new</t>
        </is>
      </c>
      <c r="E660" s="1" t="inlineStr">
        <is>
          <t>33 стратегии войны. Грин Р.</t>
        </is>
      </c>
      <c r="F660" s="13" t="inlineStr">
        <is>
          <t>См.обл.</t>
        </is>
      </c>
      <c r="G660" s="1" t="inlineStr">
        <is>
          <t>Грин Р.</t>
        </is>
      </c>
      <c r="H660" s="1" t="inlineStr">
        <is>
          <t>84х108/32</t>
        </is>
      </c>
      <c r="I660" s="1" t="n">
        <v>912</v>
      </c>
      <c r="J660" s="1" t="inlineStr">
        <is>
          <t>РИПОЛ Классик</t>
        </is>
      </c>
      <c r="M660" s="1" t="inlineStr">
        <is>
          <t>2026</t>
        </is>
      </c>
      <c r="N660" s="1" t="inlineStr">
        <is>
          <t>П</t>
        </is>
      </c>
      <c r="O660" s="9" t="n">
        <v>6</v>
      </c>
      <c r="P660" s="1">
        <f>ROUNDUP(1290*(1-$F$3),2)</f>
        <v/>
      </c>
      <c r="Q660" s="1" t="inlineStr">
        <is>
          <t> </t>
        </is>
      </c>
      <c r="R660" s="1" t="inlineStr">
        <is>
          <t>978-5-386-13544-7</t>
        </is>
      </c>
      <c r="S660" s="1" t="inlineStr">
        <is>
          <t>9785386135447</t>
        </is>
      </c>
      <c r="T660" s="9" t="n">
        <v>10</v>
      </c>
      <c r="U660" s="1">
        <f>ROUNDUP(1172.73*(1-$F$3),2)</f>
        <v/>
      </c>
      <c r="V660" s="1" t="n">
        <v>623</v>
      </c>
      <c r="Y660" s="1" t="inlineStr">
        <is>
          <t>33 стратегии войны</t>
        </is>
      </c>
      <c r="Z660" s="1" t="inlineStr">
        <is>
          <t>16+</t>
        </is>
      </c>
      <c r="AA660" s="12" t="n">
        <v>43864</v>
      </c>
      <c r="AB660" s="1" t="inlineStr">
        <is>
          <t>Гуманитарные науки</t>
        </is>
      </c>
      <c r="AC660" s="1" t="inlineStr">
        <is>
          <t>Психология</t>
        </is>
      </c>
      <c r="AD660" s="1" t="inlineStr">
        <is>
          <t>Социальная психология. Психология отношений. Коммуникации</t>
        </is>
      </c>
      <c r="AE660" s="1" t="inlineStr">
        <is>
          <t>офсетная</t>
        </is>
      </c>
      <c r="AG660" s="1" t="n">
        <v>9258180</v>
      </c>
      <c r="AI660" s="1" t="inlineStr">
        <is>
          <t>4901990000</t>
        </is>
      </c>
    </row>
    <row r="661" customFormat="1" s="1">
      <c r="C661" s="1" t="inlineStr">
        <is>
          <t xml:space="preserve">9258090             </t>
        </is>
      </c>
      <c r="D661" s="1" t="inlineStr">
        <is>
          <t>Кнут и пряник new</t>
        </is>
      </c>
      <c r="E661" s="1" t="inlineStr">
        <is>
          <t>48 законов власти (полная версия). Грин Р.</t>
        </is>
      </c>
      <c r="F661" s="13" t="inlineStr">
        <is>
          <t>См.обл.</t>
        </is>
      </c>
      <c r="G661" s="1" t="inlineStr">
        <is>
          <t>Грин Р.</t>
        </is>
      </c>
      <c r="H661" s="1" t="inlineStr">
        <is>
          <t>84х108/32</t>
        </is>
      </c>
      <c r="I661" s="1" t="n">
        <v>768</v>
      </c>
      <c r="J661" s="1" t="inlineStr">
        <is>
          <t>РИПОЛ Классик</t>
        </is>
      </c>
      <c r="M661" s="1" t="inlineStr">
        <is>
          <t>2026</t>
        </is>
      </c>
      <c r="N661" s="1" t="inlineStr">
        <is>
          <t>П</t>
        </is>
      </c>
      <c r="O661" s="9" t="n">
        <v>6</v>
      </c>
      <c r="P661" s="1">
        <f>ROUNDUP(1420*(1-$F$3),2)</f>
        <v/>
      </c>
      <c r="Q661" s="1" t="inlineStr">
        <is>
          <t> </t>
        </is>
      </c>
      <c r="R661" s="1" t="inlineStr">
        <is>
          <t>978-5-386-13551-5</t>
        </is>
      </c>
      <c r="S661" s="1" t="inlineStr">
        <is>
          <t>9785386135515</t>
        </is>
      </c>
      <c r="T661" s="9" t="n">
        <v>10</v>
      </c>
      <c r="U661" s="1">
        <f>ROUNDUP(1290.91*(1-$F$3),2)</f>
        <v/>
      </c>
      <c r="V661" s="1" t="n">
        <v>515</v>
      </c>
      <c r="Y661" s="1" t="inlineStr">
        <is>
          <t>48 законов власти (полная версия)</t>
        </is>
      </c>
      <c r="Z661" s="1" t="inlineStr">
        <is>
          <t>16+</t>
        </is>
      </c>
      <c r="AA661" s="12" t="n">
        <v>43893</v>
      </c>
      <c r="AB661" s="1" t="inlineStr">
        <is>
          <t>Общественные науки</t>
        </is>
      </c>
      <c r="AC661" s="1" t="inlineStr">
        <is>
          <t>Политика</t>
        </is>
      </c>
      <c r="AD661" s="1" t="inlineStr">
        <is>
          <t>Государственное управление. Власть</t>
        </is>
      </c>
      <c r="AE661" s="1" t="inlineStr">
        <is>
          <t> </t>
        </is>
      </c>
      <c r="AG661" s="1" t="n">
        <v>9258090</v>
      </c>
      <c r="AI661" s="1" t="inlineStr">
        <is>
          <t>4901990000</t>
        </is>
      </c>
    </row>
    <row r="662" customFormat="1" s="1">
      <c r="C662" s="1" t="inlineStr">
        <is>
          <t xml:space="preserve">8016770             </t>
        </is>
      </c>
      <c r="D662" s="1" t="inlineStr">
        <is>
          <t>Кодекс чести</t>
        </is>
      </c>
      <c r="E662" s="1" t="inlineStr">
        <is>
          <t xml:space="preserve">Кодекс чести русского офицера. </t>
        </is>
      </c>
      <c r="F662" s="13" t="inlineStr">
        <is>
          <t>См.обл.</t>
        </is>
      </c>
      <c r="H662" s="1" t="inlineStr">
        <is>
          <t>84х108/32</t>
        </is>
      </c>
      <c r="I662" s="1" t="n">
        <v>224</v>
      </c>
      <c r="J662" s="1" t="inlineStr">
        <is>
          <t>РИПОЛ Классик</t>
        </is>
      </c>
      <c r="M662" s="1" t="inlineStr">
        <is>
          <t>2024</t>
        </is>
      </c>
      <c r="N662" s="1" t="inlineStr">
        <is>
          <t>П</t>
        </is>
      </c>
      <c r="O662" s="9" t="n">
        <v>14</v>
      </c>
      <c r="P662" s="1">
        <f>ROUNDUP(1170*(1-$F$3),2)</f>
        <v/>
      </c>
      <c r="Q662" s="1" t="inlineStr">
        <is>
          <t> </t>
        </is>
      </c>
      <c r="R662" s="1" t="inlineStr">
        <is>
          <t>978-5-386-09875-9</t>
        </is>
      </c>
      <c r="S662" s="1" t="inlineStr">
        <is>
          <t>9785386098759</t>
        </is>
      </c>
      <c r="T662" s="9" t="n">
        <v>10</v>
      </c>
      <c r="U662" s="1">
        <f>ROUNDUP(1063.64*(1-$F$3),2)</f>
        <v/>
      </c>
      <c r="V662" s="1" t="n">
        <v>322</v>
      </c>
      <c r="Y662" s="1" t="inlineStr">
        <is>
          <t>Кодекс чести русского офицера</t>
        </is>
      </c>
      <c r="Z662" s="1" t="inlineStr">
        <is>
          <t>16+</t>
        </is>
      </c>
      <c r="AA662" s="12" t="n">
        <v>42765</v>
      </c>
      <c r="AB662" s="1" t="inlineStr">
        <is>
          <t>Общественные науки</t>
        </is>
      </c>
      <c r="AC662" s="1" t="inlineStr">
        <is>
          <t>Военное дело. Гражданская защита</t>
        </is>
      </c>
      <c r="AD662" s="1" t="inlineStr">
        <is>
          <t>Военное дело (тактика, стратегия). Военная подготовка</t>
        </is>
      </c>
      <c r="AE662" s="1" t="inlineStr">
        <is>
          <t>офсетная</t>
        </is>
      </c>
      <c r="AG662" s="1" t="n">
        <v>8016770</v>
      </c>
      <c r="AI662" s="1" t="inlineStr">
        <is>
          <t>4901990000</t>
        </is>
      </c>
    </row>
    <row r="663" customFormat="1" s="1">
      <c r="C663" s="1" t="inlineStr">
        <is>
          <t xml:space="preserve">11258310            </t>
        </is>
      </c>
      <c r="D663" s="1" t="inlineStr">
        <is>
          <t>Коллекция "Метаморфозы"</t>
        </is>
      </c>
      <c r="E663" s="1" t="inlineStr">
        <is>
          <t>Анна Каренина. В 2 т. Ч. 1-8. Толстой Л.Н.</t>
        </is>
      </c>
      <c r="F663" s="13" t="inlineStr">
        <is>
          <t>См.обл.</t>
        </is>
      </c>
      <c r="G663" s="1" t="inlineStr">
        <is>
          <t>Толстой Л.Н.</t>
        </is>
      </c>
      <c r="H663" s="1" t="inlineStr">
        <is>
          <t>70х100/16</t>
        </is>
      </c>
      <c r="I663" s="1" t="n">
        <v>1080</v>
      </c>
      <c r="J663" s="1" t="inlineStr">
        <is>
          <t>РИПОЛ Классик</t>
        </is>
      </c>
      <c r="M663" s="1" t="inlineStr">
        <is>
          <t>2024</t>
        </is>
      </c>
      <c r="N663" s="1" t="inlineStr">
        <is>
          <t>П</t>
        </is>
      </c>
      <c r="O663" s="9" t="n">
        <v>2</v>
      </c>
      <c r="P663" s="1">
        <f>ROUNDUP(5300*(1-$F$3),2)</f>
        <v/>
      </c>
      <c r="Q663" s="1" t="inlineStr">
        <is>
          <t> </t>
        </is>
      </c>
      <c r="R663" s="1" t="inlineStr">
        <is>
          <t>978-5-386-15185-0</t>
        </is>
      </c>
      <c r="S663" s="1" t="inlineStr">
        <is>
          <t>9785386151850</t>
        </is>
      </c>
      <c r="T663" s="9" t="n">
        <v>10</v>
      </c>
      <c r="U663" s="1">
        <f>ROUNDUP(4818.18*(1-$F$3),2)</f>
        <v/>
      </c>
      <c r="V663" s="1" t="n">
        <v>2567</v>
      </c>
      <c r="Y663" s="1" t="inlineStr">
        <is>
          <t>Анна Каренина. В 2 т. Ч. 1-8</t>
        </is>
      </c>
      <c r="Z663" s="1" t="inlineStr">
        <is>
          <t>12+</t>
        </is>
      </c>
      <c r="AA663" s="12" t="n">
        <v>45429</v>
      </c>
      <c r="AB663" s="1" t="inlineStr">
        <is>
          <t>Художественная литература</t>
        </is>
      </c>
      <c r="AC663" s="1" t="inlineStr">
        <is>
          <t>Русская литература</t>
        </is>
      </c>
      <c r="AD663" s="1" t="inlineStr">
        <is>
          <t>Русская литература XVIII-нач. XX вв. (до 1917 г.)</t>
        </is>
      </c>
      <c r="AE663" s="1" t="inlineStr">
        <is>
          <t>офсетная</t>
        </is>
      </c>
      <c r="AG663" s="1" t="n">
        <v>11258310</v>
      </c>
      <c r="AI663" s="1" t="inlineStr">
        <is>
          <t>4901990000</t>
        </is>
      </c>
    </row>
    <row r="664" customFormat="1" s="1">
      <c r="C664" s="1" t="inlineStr">
        <is>
          <t xml:space="preserve">10409560            </t>
        </is>
      </c>
      <c r="D664" s="1" t="inlineStr">
        <is>
          <t>Коллекция "Метаморфозы"</t>
        </is>
      </c>
      <c r="E664" s="1" t="inlineStr">
        <is>
          <t>Вечера на хуторе близ Диканьки. Гоголь Н.В.</t>
        </is>
      </c>
      <c r="F664" s="13" t="inlineStr">
        <is>
          <t>См.обл.</t>
        </is>
      </c>
      <c r="G664" s="1" t="inlineStr">
        <is>
          <t>Гоголь Н.В.</t>
        </is>
      </c>
      <c r="H664" s="1" t="inlineStr">
        <is>
          <t>70х100/16</t>
        </is>
      </c>
      <c r="I664" s="1" t="n">
        <v>312</v>
      </c>
      <c r="J664" s="1" t="inlineStr">
        <is>
          <t>РИПОЛ Классик</t>
        </is>
      </c>
      <c r="M664" s="1" t="inlineStr">
        <is>
          <t>2026</t>
        </is>
      </c>
      <c r="N664" s="1" t="inlineStr">
        <is>
          <t>П</t>
        </is>
      </c>
      <c r="O664" s="9" t="n">
        <v>6</v>
      </c>
      <c r="P664" s="1">
        <f>ROUNDUP(1833.3*(1-$F$3),2)</f>
        <v/>
      </c>
      <c r="Q664" s="1" t="inlineStr">
        <is>
          <t> </t>
        </is>
      </c>
      <c r="R664" s="1" t="inlineStr">
        <is>
          <t>978-5-386-14724-2</t>
        </is>
      </c>
      <c r="S664" s="1" t="inlineStr">
        <is>
          <t>9785386147242</t>
        </is>
      </c>
      <c r="T664" s="9" t="n">
        <v>10</v>
      </c>
      <c r="U664" s="1">
        <f>ROUNDUP(1666.64*(1-$F$3),2)</f>
        <v/>
      </c>
      <c r="V664" s="1" t="n">
        <v>808</v>
      </c>
      <c r="Y664" s="1" t="inlineStr">
        <is>
          <t>Вечера на хуторе близ Диканьки</t>
        </is>
      </c>
      <c r="Z664" s="1" t="inlineStr">
        <is>
          <t>12+</t>
        </is>
      </c>
      <c r="AA664" s="12" t="n">
        <v>44722</v>
      </c>
      <c r="AB664" s="1" t="inlineStr">
        <is>
          <t>Художественная литература</t>
        </is>
      </c>
      <c r="AC664" s="1" t="inlineStr">
        <is>
          <t>Русская литература</t>
        </is>
      </c>
      <c r="AD664" s="1" t="inlineStr">
        <is>
          <t>Русская литература XVIII-нач. XX вв. (до 1917 г.)</t>
        </is>
      </c>
      <c r="AE664" s="1" t="inlineStr">
        <is>
          <t>офсетная</t>
        </is>
      </c>
      <c r="AG664" s="1" t="n">
        <v>10409560</v>
      </c>
      <c r="AI664" s="1" t="inlineStr">
        <is>
          <t>4901990000</t>
        </is>
      </c>
    </row>
    <row r="665" customFormat="1" s="1">
      <c r="C665" s="1" t="inlineStr">
        <is>
          <t xml:space="preserve">10806940            </t>
        </is>
      </c>
      <c r="D665" s="1" t="inlineStr">
        <is>
          <t>Коллекция "Метаморфозы"</t>
        </is>
      </c>
      <c r="E665" s="1" t="inlineStr">
        <is>
          <t>Вий и другие повести из цикла "Миргород". Гоголь Н.В.</t>
        </is>
      </c>
      <c r="F665" s="13" t="inlineStr">
        <is>
          <t>См.обл.</t>
        </is>
      </c>
      <c r="G665" s="1" t="inlineStr">
        <is>
          <t>Гоголь Н.В.</t>
        </is>
      </c>
      <c r="H665" s="1" t="inlineStr">
        <is>
          <t>70х100/16</t>
        </is>
      </c>
      <c r="I665" s="1" t="n">
        <v>352</v>
      </c>
      <c r="J665" s="1" t="inlineStr">
        <is>
          <t>РИПОЛ Классик</t>
        </is>
      </c>
      <c r="M665" s="1" t="inlineStr">
        <is>
          <t>2024</t>
        </is>
      </c>
      <c r="N665" s="1" t="inlineStr">
        <is>
          <t>П</t>
        </is>
      </c>
      <c r="O665" s="9" t="n">
        <v>5</v>
      </c>
      <c r="P665" s="1">
        <f>ROUNDUP(2240*(1-$F$3),2)</f>
        <v/>
      </c>
      <c r="Q665" s="1" t="inlineStr">
        <is>
          <t> </t>
        </is>
      </c>
      <c r="R665" s="1" t="inlineStr">
        <is>
          <t>978-5-386-14963-5</t>
        </is>
      </c>
      <c r="S665" s="1" t="inlineStr">
        <is>
          <t>9785386149635</t>
        </is>
      </c>
      <c r="T665" s="9" t="n">
        <v>10</v>
      </c>
      <c r="U665" s="1">
        <f>ROUNDUP(2036.36*(1-$F$3),2)</f>
        <v/>
      </c>
      <c r="V665" s="1" t="n">
        <v>894</v>
      </c>
      <c r="Y665" s="1" t="inlineStr">
        <is>
          <t>Вий и другие повести из цикла "Миргород"</t>
        </is>
      </c>
      <c r="Z665" s="1" t="inlineStr">
        <is>
          <t>12+</t>
        </is>
      </c>
      <c r="AA665" s="12" t="n">
        <v>45020</v>
      </c>
      <c r="AB665" s="1" t="inlineStr">
        <is>
          <t>Художественная литература</t>
        </is>
      </c>
      <c r="AC665" s="1" t="inlineStr">
        <is>
          <t>Русская литература</t>
        </is>
      </c>
      <c r="AD665" s="1" t="inlineStr">
        <is>
          <t>Русская литература XVIII-нач. XX вв. (до 1917 г.)</t>
        </is>
      </c>
      <c r="AE665" s="1" t="inlineStr">
        <is>
          <t>офсетная</t>
        </is>
      </c>
      <c r="AG665" s="1" t="n">
        <v>10806940</v>
      </c>
      <c r="AI665" s="1" t="inlineStr">
        <is>
          <t>4901990000</t>
        </is>
      </c>
    </row>
    <row r="666" customFormat="1" s="1">
      <c r="C666" s="1" t="inlineStr">
        <is>
          <t xml:space="preserve">9536820             </t>
        </is>
      </c>
      <c r="D666" s="1" t="inlineStr">
        <is>
          <t>Коллекция "Метаморфозы"</t>
        </is>
      </c>
      <c r="E666" s="1" t="inlineStr">
        <is>
          <t>Вишенка и Клюква. Лакомб Б.</t>
        </is>
      </c>
      <c r="F666" s="13" t="inlineStr">
        <is>
          <t>См.обл.</t>
        </is>
      </c>
      <c r="G666" s="1" t="inlineStr">
        <is>
          <t>Лакомб Б.</t>
        </is>
      </c>
      <c r="H666" s="1" t="inlineStr">
        <is>
          <t>70х100/8</t>
        </is>
      </c>
      <c r="I666" s="1" t="n">
        <v>32</v>
      </c>
      <c r="J666" s="1" t="inlineStr">
        <is>
          <t>РИПОЛ Классик</t>
        </is>
      </c>
      <c r="M666" s="1" t="inlineStr">
        <is>
          <t>2020</t>
        </is>
      </c>
      <c r="N666" s="1" t="inlineStr">
        <is>
          <t>П</t>
        </is>
      </c>
      <c r="O666" s="9" t="n">
        <v>20</v>
      </c>
      <c r="P666" s="1">
        <f>ROUNDUP(770*(1-$F$3),2)</f>
        <v/>
      </c>
      <c r="Q666" s="1" t="inlineStr">
        <is>
          <t> </t>
        </is>
      </c>
      <c r="R666" s="1" t="inlineStr">
        <is>
          <t>978-5-386-13821-9</t>
        </is>
      </c>
      <c r="S666" s="1" t="inlineStr">
        <is>
          <t>9785386138219</t>
        </is>
      </c>
      <c r="T666" s="9" t="n">
        <v>10</v>
      </c>
      <c r="U666" s="1">
        <f>ROUNDUP(700*(1-$F$3),2)</f>
        <v/>
      </c>
      <c r="V666" s="1" t="n">
        <v>561</v>
      </c>
      <c r="Y666" s="1" t="inlineStr">
        <is>
          <t>Вишенка и Клюква</t>
        </is>
      </c>
      <c r="Z666" s="1" t="inlineStr">
        <is>
          <t>12+</t>
        </is>
      </c>
      <c r="AA666" s="12" t="n">
        <v>44165</v>
      </c>
      <c r="AB666" s="1" t="inlineStr">
        <is>
          <t>Детская литература</t>
        </is>
      </c>
      <c r="AC666" s="1" t="inlineStr">
        <is>
          <t>Художественная литература</t>
        </is>
      </c>
      <c r="AD666" s="1" t="inlineStr">
        <is>
          <t>Литературная сказка</t>
        </is>
      </c>
      <c r="AE666" s="1" t="inlineStr">
        <is>
          <t>мелованная</t>
        </is>
      </c>
      <c r="AG666" s="1" t="n">
        <v>9536820</v>
      </c>
      <c r="AI666" s="1" t="inlineStr">
        <is>
          <t>4901990000</t>
        </is>
      </c>
    </row>
    <row r="667" customFormat="1" s="1">
      <c r="C667" s="1" t="inlineStr">
        <is>
          <t xml:space="preserve">11506300            </t>
        </is>
      </c>
      <c r="D667" s="1" t="inlineStr">
        <is>
          <t>Коллекция "Метаморфозы"</t>
        </is>
      </c>
      <c r="E667" s="1" t="inlineStr">
        <is>
          <t>Двенадцать стульев. Ильф И.А., Петров Е.П</t>
        </is>
      </c>
      <c r="F667" s="13" t="inlineStr">
        <is>
          <t>См.обл.</t>
        </is>
      </c>
      <c r="G667" s="1" t="inlineStr">
        <is>
          <t>Ильф И.А., Петров Е.П</t>
        </is>
      </c>
      <c r="H667" s="1" t="inlineStr">
        <is>
          <t>70х100/16</t>
        </is>
      </c>
      <c r="I667" s="1" t="n">
        <v>416</v>
      </c>
      <c r="J667" s="1" t="inlineStr">
        <is>
          <t>РИПОЛ Классик</t>
        </is>
      </c>
      <c r="M667" s="1" t="inlineStr">
        <is>
          <t>2025</t>
        </is>
      </c>
      <c r="N667" s="1" t="inlineStr">
        <is>
          <t>П</t>
        </is>
      </c>
      <c r="O667" s="9" t="n">
        <v>4</v>
      </c>
      <c r="P667" s="1">
        <f>ROUNDUP(2710*(1-$F$3),2)</f>
        <v/>
      </c>
      <c r="Q667" s="1" t="inlineStr">
        <is>
          <t> </t>
        </is>
      </c>
      <c r="R667" s="1" t="inlineStr">
        <is>
          <t>978-5-386-15173-7</t>
        </is>
      </c>
      <c r="S667" s="1" t="inlineStr">
        <is>
          <t>9785386151737</t>
        </is>
      </c>
      <c r="T667" s="9" t="n">
        <v>10</v>
      </c>
      <c r="U667" s="1">
        <f>ROUNDUP(2463.64*(1-$F$3),2)</f>
        <v/>
      </c>
      <c r="V667" s="1" t="n">
        <v>1032</v>
      </c>
      <c r="Y667" s="1" t="inlineStr">
        <is>
          <t>Двенадцать стульев</t>
        </is>
      </c>
      <c r="Z667" s="1" t="inlineStr">
        <is>
          <t>12+</t>
        </is>
      </c>
      <c r="AA667" s="12" t="n">
        <v>45622</v>
      </c>
      <c r="AB667" s="1" t="inlineStr">
        <is>
          <t>Художественная литература</t>
        </is>
      </c>
      <c r="AC667" s="1" t="inlineStr">
        <is>
          <t>Русская литература</t>
        </is>
      </c>
      <c r="AD667" s="1" t="inlineStr">
        <is>
          <t>Русская литература советского периода (1917-1991 гг.)</t>
        </is>
      </c>
      <c r="AE667" s="1" t="inlineStr">
        <is>
          <t>офсетная</t>
        </is>
      </c>
      <c r="AG667" s="1" t="n">
        <v>11506300</v>
      </c>
      <c r="AI667" s="1" t="inlineStr">
        <is>
          <t>4901990000</t>
        </is>
      </c>
    </row>
    <row r="668" customFormat="1" s="1">
      <c r="C668" s="1" t="inlineStr">
        <is>
          <t xml:space="preserve">10541480            </t>
        </is>
      </c>
      <c r="D668" s="1" t="inlineStr">
        <is>
          <t>Коллекция "Метаморфозы"</t>
        </is>
      </c>
      <c r="E668" s="1" t="inlineStr">
        <is>
          <t>Записки охотника. Тургенев И.С.</t>
        </is>
      </c>
      <c r="F668" s="13" t="inlineStr">
        <is>
          <t>См.обл.</t>
        </is>
      </c>
      <c r="G668" s="1" t="inlineStr">
        <is>
          <t>Тургенев И.С.</t>
        </is>
      </c>
      <c r="H668" s="1" t="inlineStr">
        <is>
          <t>70х100/16</t>
        </is>
      </c>
      <c r="I668" s="1" t="n">
        <v>624</v>
      </c>
      <c r="J668" s="1" t="inlineStr">
        <is>
          <t>РИПОЛ Классик</t>
        </is>
      </c>
      <c r="M668" s="1" t="inlineStr">
        <is>
          <t>2024</t>
        </is>
      </c>
      <c r="N668" s="1" t="inlineStr">
        <is>
          <t>П</t>
        </is>
      </c>
      <c r="O668" s="9" t="n">
        <v>3</v>
      </c>
      <c r="P668" s="1">
        <f>ROUNDUP(4230*(1-$F$3),2)</f>
        <v/>
      </c>
      <c r="Q668" s="1" t="inlineStr">
        <is>
          <t> </t>
        </is>
      </c>
      <c r="R668" s="1" t="inlineStr">
        <is>
          <t>978-5-386-14884-3</t>
        </is>
      </c>
      <c r="S668" s="1" t="inlineStr">
        <is>
          <t>9785386148843</t>
        </is>
      </c>
      <c r="T668" s="9" t="n">
        <v>10</v>
      </c>
      <c r="U668" s="1">
        <f>ROUNDUP(3845.45*(1-$F$3),2)</f>
        <v/>
      </c>
      <c r="V668" s="1" t="n">
        <v>1499</v>
      </c>
      <c r="Y668" s="1" t="inlineStr">
        <is>
          <t>Записки охотника</t>
        </is>
      </c>
      <c r="Z668" s="1" t="inlineStr">
        <is>
          <t>12+</t>
        </is>
      </c>
      <c r="AA668" s="12" t="n">
        <v>44855</v>
      </c>
      <c r="AB668" s="1" t="inlineStr">
        <is>
          <t>Художественная литература</t>
        </is>
      </c>
      <c r="AC668" s="1" t="inlineStr">
        <is>
          <t>Русская литература</t>
        </is>
      </c>
      <c r="AD668" s="1" t="inlineStr">
        <is>
          <t>Русская литература XVIII-нач. XX вв. (до 1917 г.)</t>
        </is>
      </c>
      <c r="AE668" s="1" t="inlineStr">
        <is>
          <t>офсетная</t>
        </is>
      </c>
      <c r="AG668" s="1" t="n">
        <v>10541480</v>
      </c>
      <c r="AI668" s="1" t="inlineStr">
        <is>
          <t>4901990000</t>
        </is>
      </c>
    </row>
    <row r="669" customFormat="1" s="1">
      <c r="C669" s="1" t="inlineStr">
        <is>
          <t>12268640</t>
        </is>
      </c>
      <c r="D669" s="1" t="inlineStr">
        <is>
          <t>Коллекция "Метаморфозы"</t>
        </is>
      </c>
      <c r="E669" s="1" t="inlineStr">
        <is>
          <t>Зарубежная классика (комплект из 4-х книг). Уайльд О., По Э.А., Шелли М.</t>
        </is>
      </c>
      <c r="F669" s="13" t="inlineStr">
        <is>
          <t>См.обл.</t>
        </is>
      </c>
      <c r="G669" s="1" t="inlineStr">
        <is>
          <t>Уайльд О., По Э.А., Шелли М.</t>
        </is>
      </c>
      <c r="H669" s="1" t="inlineStr">
        <is>
          <t>60х84/8</t>
        </is>
      </c>
      <c r="I669" s="1" t="n">
        <v>1180</v>
      </c>
      <c r="J669" s="1" t="inlineStr">
        <is>
          <t>РИПОЛ Классик</t>
        </is>
      </c>
      <c r="M669" s="1" t="inlineStr">
        <is>
          <t>2025</t>
        </is>
      </c>
      <c r="N669" s="1" t="inlineStr">
        <is>
          <t>П</t>
        </is>
      </c>
      <c r="O669" s="9" t="n"/>
      <c r="P669" s="1">
        <f>ROUNDUP(6215*(1-$F$3),2)</f>
        <v/>
      </c>
      <c r="Q669" s="1" t="inlineStr">
        <is>
          <t> </t>
        </is>
      </c>
      <c r="R669" s="1" t="inlineStr">
        <is>
          <t>978-5-8854-0471-6</t>
        </is>
      </c>
      <c r="S669" s="1" t="inlineStr">
        <is>
          <t>9785885404716</t>
        </is>
      </c>
      <c r="T669" s="9" t="n">
        <v>10</v>
      </c>
      <c r="U669" s="1">
        <f>ROUNDUP(5650*(1-$F$3),2)</f>
        <v/>
      </c>
      <c r="V669" s="1" t="n">
        <v>2506</v>
      </c>
      <c r="Y669" s="1" t="inlineStr">
        <is>
          <t>Зарубежная классика (комплект из 4-х книг)</t>
        </is>
      </c>
      <c r="Z669" s="1" t="inlineStr">
        <is>
          <t>16+</t>
        </is>
      </c>
      <c r="AA669" s="12" t="n">
        <v>46273</v>
      </c>
      <c r="AB669" s="1" t="inlineStr">
        <is>
          <t>Художественная литература</t>
        </is>
      </c>
      <c r="AC669" s="1" t="inlineStr">
        <is>
          <t>Фантастика. Мистика. Ужасы</t>
        </is>
      </c>
      <c r="AD669" s="1" t="inlineStr">
        <is>
          <t>Мистика. Ужасы</t>
        </is>
      </c>
      <c r="AE669" s="1" t="inlineStr">
        <is>
          <t>офсетная</t>
        </is>
      </c>
      <c r="AG669" s="1" t="n">
        <v>12268640</v>
      </c>
      <c r="AI669" s="1" t="inlineStr">
        <is>
          <t>4901990000</t>
        </is>
      </c>
      <c r="AJ669" s="1" t="inlineStr">
        <is>
          <t>Зпв</t>
        </is>
      </c>
    </row>
    <row r="670" customFormat="1" s="1">
      <c r="C670" s="1" t="inlineStr">
        <is>
          <t xml:space="preserve">11506370            </t>
        </is>
      </c>
      <c r="D670" s="1" t="inlineStr">
        <is>
          <t>Коллекция "Метаморфозы"</t>
        </is>
      </c>
      <c r="E670" s="1" t="inlineStr">
        <is>
          <t>Золотой теленок. Ильф И.А., Петров Е.П</t>
        </is>
      </c>
      <c r="F670" s="13" t="inlineStr">
        <is>
          <t>См.обл.</t>
        </is>
      </c>
      <c r="G670" s="1" t="inlineStr">
        <is>
          <t>Ильф И.А., Петров Е.П</t>
        </is>
      </c>
      <c r="H670" s="1" t="inlineStr">
        <is>
          <t>70х100/16</t>
        </is>
      </c>
      <c r="I670" s="1" t="n">
        <v>432</v>
      </c>
      <c r="J670" s="1" t="inlineStr">
        <is>
          <t>РИПОЛ Классик</t>
        </is>
      </c>
      <c r="M670" s="1" t="inlineStr">
        <is>
          <t>2025</t>
        </is>
      </c>
      <c r="N670" s="1" t="inlineStr">
        <is>
          <t>П</t>
        </is>
      </c>
      <c r="O670" s="9" t="n">
        <v>4</v>
      </c>
      <c r="P670" s="1">
        <f>ROUNDUP(2710*(1-$F$3),2)</f>
        <v/>
      </c>
      <c r="Q670" s="1" t="inlineStr">
        <is>
          <t> </t>
        </is>
      </c>
      <c r="R670" s="1" t="inlineStr">
        <is>
          <t>978-5-386-15172-0</t>
        </is>
      </c>
      <c r="S670" s="1" t="inlineStr">
        <is>
          <t>9785386151720</t>
        </is>
      </c>
      <c r="T670" s="9" t="n">
        <v>10</v>
      </c>
      <c r="U670" s="1">
        <f>ROUNDUP(2463.64*(1-$F$3),2)</f>
        <v/>
      </c>
      <c r="V670" s="1" t="n">
        <v>1061</v>
      </c>
      <c r="Y670" s="1" t="inlineStr">
        <is>
          <t>Золотой теленок</t>
        </is>
      </c>
      <c r="Z670" s="1" t="inlineStr">
        <is>
          <t>12+</t>
        </is>
      </c>
      <c r="AA670" s="12" t="n">
        <v>45622</v>
      </c>
      <c r="AB670" s="1" t="inlineStr">
        <is>
          <t>Художественная литература</t>
        </is>
      </c>
      <c r="AC670" s="1" t="inlineStr">
        <is>
          <t>Русская литература</t>
        </is>
      </c>
      <c r="AD670" s="1" t="inlineStr">
        <is>
          <t>Русская литература советского периода (1917-1991 гг.)</t>
        </is>
      </c>
      <c r="AE670" s="1" t="inlineStr">
        <is>
          <t>офсетная</t>
        </is>
      </c>
      <c r="AG670" s="1" t="n">
        <v>11506370</v>
      </c>
      <c r="AI670" s="1" t="inlineStr">
        <is>
          <t>4901990000</t>
        </is>
      </c>
    </row>
    <row r="671" customFormat="1" s="1">
      <c r="C671" s="1" t="inlineStr">
        <is>
          <t xml:space="preserve">9537140             </t>
        </is>
      </c>
      <c r="D671" s="1" t="inlineStr">
        <is>
          <t>Коллекция "Метаморфозы"</t>
        </is>
      </c>
      <c r="E671" s="1" t="inlineStr">
        <is>
          <t>Молчаливое дитя. Румигьер С.</t>
        </is>
      </c>
      <c r="F671" s="13" t="inlineStr">
        <is>
          <t>См.обл.</t>
        </is>
      </c>
      <c r="G671" s="1" t="inlineStr">
        <is>
          <t>Румигьер С.</t>
        </is>
      </c>
      <c r="H671" s="1" t="inlineStr">
        <is>
          <t>84х90/16</t>
        </is>
      </c>
      <c r="I671" s="1" t="n">
        <v>32</v>
      </c>
      <c r="J671" s="1" t="inlineStr">
        <is>
          <t>РИПОЛ Классик</t>
        </is>
      </c>
      <c r="M671" s="1" t="inlineStr">
        <is>
          <t>2020</t>
        </is>
      </c>
      <c r="N671" s="1" t="inlineStr">
        <is>
          <t>П</t>
        </is>
      </c>
      <c r="O671" s="9" t="n">
        <v>18</v>
      </c>
      <c r="P671" s="1">
        <f>ROUNDUP(650*(1-$F$3),2)</f>
        <v/>
      </c>
      <c r="Q671" s="1" t="inlineStr">
        <is>
          <t> </t>
        </is>
      </c>
      <c r="R671" s="1" t="inlineStr">
        <is>
          <t>978-5-386-13822-6</t>
        </is>
      </c>
      <c r="S671" s="1" t="inlineStr">
        <is>
          <t>9785386138226</t>
        </is>
      </c>
      <c r="T671" s="9" t="n">
        <v>10</v>
      </c>
      <c r="U671" s="1">
        <f>ROUNDUP(590.91*(1-$F$3),2)</f>
        <v/>
      </c>
      <c r="V671" s="1" t="n">
        <v>254</v>
      </c>
      <c r="Y671" s="1" t="inlineStr">
        <is>
          <t>Молчаливое дитя</t>
        </is>
      </c>
      <c r="Z671" s="1" t="inlineStr">
        <is>
          <t>16+</t>
        </is>
      </c>
      <c r="AA671" s="12" t="n">
        <v>44165</v>
      </c>
      <c r="AB671" s="1" t="inlineStr">
        <is>
          <t>Детская литература</t>
        </is>
      </c>
      <c r="AC671" s="1" t="inlineStr">
        <is>
          <t>Художественная литература</t>
        </is>
      </c>
      <c r="AD671" s="1" t="inlineStr">
        <is>
          <t>Литературная сказка</t>
        </is>
      </c>
      <c r="AE671" s="1" t="inlineStr">
        <is>
          <t>мелованная</t>
        </is>
      </c>
      <c r="AG671" s="1" t="n">
        <v>9537140</v>
      </c>
      <c r="AI671" s="1" t="inlineStr">
        <is>
          <t>4901990000</t>
        </is>
      </c>
    </row>
    <row r="672" customFormat="1" s="1">
      <c r="C672" s="1" t="inlineStr">
        <is>
          <t xml:space="preserve">11937120            </t>
        </is>
      </c>
      <c r="D672" s="1" t="inlineStr">
        <is>
          <t>Коллекция "Метаморфозы"</t>
        </is>
      </c>
      <c r="E672" s="1" t="inlineStr">
        <is>
          <t>Пасхальное чудо. Истории и рассказы русских писателей в старинных открытках. Сост. Буткова О.</t>
        </is>
      </c>
      <c r="F672" s="13" t="inlineStr">
        <is>
          <t>См.обл.</t>
        </is>
      </c>
      <c r="G672" s="1" t="inlineStr">
        <is>
          <t>Сост. Буткова О.</t>
        </is>
      </c>
      <c r="H672" s="1" t="inlineStr">
        <is>
          <t>70х100/16</t>
        </is>
      </c>
      <c r="I672" s="1" t="n">
        <v>232</v>
      </c>
      <c r="J672" s="1" t="inlineStr">
        <is>
          <t>РИПОЛ Классик</t>
        </is>
      </c>
      <c r="M672" s="1" t="inlineStr">
        <is>
          <t>2026</t>
        </is>
      </c>
      <c r="N672" s="1" t="inlineStr">
        <is>
          <t>П</t>
        </is>
      </c>
      <c r="O672" s="9" t="n">
        <v>8</v>
      </c>
      <c r="P672" s="1">
        <f>ROUNDUP(2210*(1-$F$3),2)</f>
        <v/>
      </c>
      <c r="Q672" s="1" t="inlineStr">
        <is>
          <t> </t>
        </is>
      </c>
      <c r="R672" s="1" t="inlineStr">
        <is>
          <t>978-5-386-15390-8</t>
        </is>
      </c>
      <c r="S672" s="1" t="inlineStr">
        <is>
          <t>9785386153908</t>
        </is>
      </c>
      <c r="T672" s="9" t="n">
        <v>10</v>
      </c>
      <c r="U672" s="1">
        <f>ROUNDUP(2009.09*(1-$F$3),2)</f>
        <v/>
      </c>
      <c r="V672" s="1" t="n">
        <v>719</v>
      </c>
      <c r="Y672" s="1" t="inlineStr">
        <is>
          <t>Пасхальное чудо. Истории и рассказы русских писателей в старинных открытках</t>
        </is>
      </c>
      <c r="Z672" s="1" t="inlineStr">
        <is>
          <t>12+</t>
        </is>
      </c>
      <c r="AA672" s="12" t="n">
        <v>46013</v>
      </c>
      <c r="AB672" s="1" t="inlineStr">
        <is>
          <t>Художественная литература</t>
        </is>
      </c>
      <c r="AC672" s="1" t="inlineStr">
        <is>
          <t>Русская литература</t>
        </is>
      </c>
      <c r="AD672" s="1" t="inlineStr">
        <is>
          <t>Русская литература XVIII-нач. XX вв. (до 1917 г.)</t>
        </is>
      </c>
      <c r="AE672" s="1" t="inlineStr">
        <is>
          <t>мелованная</t>
        </is>
      </c>
      <c r="AG672" s="1" t="n">
        <v>11937120</v>
      </c>
      <c r="AI672" s="1" t="inlineStr">
        <is>
          <t>4901990000</t>
        </is>
      </c>
    </row>
    <row r="673" customFormat="1" s="1">
      <c r="C673" s="1" t="inlineStr">
        <is>
          <t xml:space="preserve">11260900            </t>
        </is>
      </c>
      <c r="D673" s="1" t="inlineStr">
        <is>
          <t>Коллекция "Метаморфозы"</t>
        </is>
      </c>
      <c r="E673" s="1" t="inlineStr">
        <is>
          <t>Портрет Дориана Грея. Уайльд О.</t>
        </is>
      </c>
      <c r="F673" s="13" t="inlineStr">
        <is>
          <t>См.обл.</t>
        </is>
      </c>
      <c r="G673" s="1" t="inlineStr">
        <is>
          <t>Уайльд О.</t>
        </is>
      </c>
      <c r="H673" s="1" t="inlineStr">
        <is>
          <t>70х100/16</t>
        </is>
      </c>
      <c r="I673" s="1" t="n">
        <v>320</v>
      </c>
      <c r="J673" s="1" t="inlineStr">
        <is>
          <t>РИПОЛ Классик</t>
        </is>
      </c>
      <c r="M673" s="1" t="inlineStr">
        <is>
          <t>2024</t>
        </is>
      </c>
      <c r="N673" s="1" t="inlineStr">
        <is>
          <t>П</t>
        </is>
      </c>
      <c r="O673" s="9" t="n">
        <v>6</v>
      </c>
      <c r="P673" s="1">
        <f>ROUNDUP(2270*(1-$F$3),2)</f>
        <v/>
      </c>
      <c r="Q673" s="1" t="inlineStr">
        <is>
          <t> </t>
        </is>
      </c>
      <c r="R673" s="1" t="inlineStr">
        <is>
          <t>978-5-386-15178-2</t>
        </is>
      </c>
      <c r="S673" s="1" t="inlineStr">
        <is>
          <t>9785386151782</t>
        </is>
      </c>
      <c r="T673" s="9" t="n">
        <v>10</v>
      </c>
      <c r="U673" s="1">
        <f>ROUNDUP(2063.64*(1-$F$3),2)</f>
        <v/>
      </c>
      <c r="V673" s="1" t="n">
        <v>826</v>
      </c>
      <c r="Y673" s="1" t="inlineStr">
        <is>
          <t>Портрет Дориана Грея</t>
        </is>
      </c>
      <c r="Z673" s="1" t="inlineStr">
        <is>
          <t>12+</t>
        </is>
      </c>
      <c r="AA673" s="12" t="n">
        <v>45376</v>
      </c>
      <c r="AB673" s="1" t="inlineStr">
        <is>
          <t>Художественная литература</t>
        </is>
      </c>
      <c r="AC673" s="1" t="inlineStr">
        <is>
          <t>Зарубежная литература</t>
        </is>
      </c>
      <c r="AD673" s="1" t="inlineStr">
        <is>
          <t>Европейская литература</t>
        </is>
      </c>
      <c r="AE673" s="1" t="inlineStr">
        <is>
          <t>офсетная</t>
        </is>
      </c>
      <c r="AG673" s="1" t="n">
        <v>11260900</v>
      </c>
      <c r="AI673" s="1" t="inlineStr">
        <is>
          <t>4901990000</t>
        </is>
      </c>
      <c r="AJ673" s="1" t="inlineStr">
        <is>
          <t>Зпв</t>
        </is>
      </c>
    </row>
    <row r="674" customFormat="1" s="1">
      <c r="C674" s="1" t="inlineStr">
        <is>
          <t xml:space="preserve">11267820            </t>
        </is>
      </c>
      <c r="D674" s="1" t="inlineStr">
        <is>
          <t>Коллекция "Метаморфозы"</t>
        </is>
      </c>
      <c r="E674" s="1" t="inlineStr">
        <is>
          <t>Портрет. Петербургские повести. Гоголь Н.В.</t>
        </is>
      </c>
      <c r="F674" s="13" t="inlineStr">
        <is>
          <t>См.обл.</t>
        </is>
      </c>
      <c r="G674" s="1" t="inlineStr">
        <is>
          <t>Гоголь Н.В.</t>
        </is>
      </c>
      <c r="H674" s="1" t="inlineStr">
        <is>
          <t>70х100/16</t>
        </is>
      </c>
      <c r="I674" s="1" t="n">
        <v>280</v>
      </c>
      <c r="J674" s="1" t="inlineStr">
        <is>
          <t>РИПОЛ Классик</t>
        </is>
      </c>
      <c r="M674" s="1" t="inlineStr">
        <is>
          <t>2024</t>
        </is>
      </c>
      <c r="N674" s="1" t="inlineStr">
        <is>
          <t>П</t>
        </is>
      </c>
      <c r="O674" s="9" t="n">
        <v>6</v>
      </c>
      <c r="P674" s="1">
        <f>ROUNDUP(2270*(1-$F$3),2)</f>
        <v/>
      </c>
      <c r="Q674" s="1" t="inlineStr">
        <is>
          <t> </t>
        </is>
      </c>
      <c r="R674" s="1" t="inlineStr">
        <is>
          <t>978-5-386-15179-9</t>
        </is>
      </c>
      <c r="S674" s="1" t="inlineStr">
        <is>
          <t>9785386151799</t>
        </is>
      </c>
      <c r="T674" s="9" t="n">
        <v>10</v>
      </c>
      <c r="U674" s="1">
        <f>ROUNDUP(2063.64*(1-$F$3),2)</f>
        <v/>
      </c>
      <c r="V674" s="1" t="n">
        <v>758</v>
      </c>
      <c r="Y674" s="1" t="inlineStr">
        <is>
          <t>Портрет. Петербургские повести</t>
        </is>
      </c>
      <c r="Z674" s="1" t="inlineStr">
        <is>
          <t>12+</t>
        </is>
      </c>
      <c r="AA674" s="12" t="n">
        <v>45412</v>
      </c>
      <c r="AB674" s="1" t="inlineStr">
        <is>
          <t>Художественная литература</t>
        </is>
      </c>
      <c r="AC674" s="1" t="inlineStr">
        <is>
          <t>Русская литература</t>
        </is>
      </c>
      <c r="AD674" s="1" t="inlineStr">
        <is>
          <t>Русская литература XVIII-нач. XX вв. (до 1917 г.)</t>
        </is>
      </c>
      <c r="AE674" s="1" t="inlineStr">
        <is>
          <t>офсетная</t>
        </is>
      </c>
      <c r="AG674" s="1" t="n">
        <v>11267820</v>
      </c>
      <c r="AI674" s="1" t="inlineStr">
        <is>
          <t>4901990000</t>
        </is>
      </c>
    </row>
    <row r="675" customFormat="1" s="1">
      <c r="C675" s="1" t="inlineStr">
        <is>
          <t xml:space="preserve">10814090            </t>
        </is>
      </c>
      <c r="D675" s="1" t="inlineStr">
        <is>
          <t>Коллекция "Метаморфозы"</t>
        </is>
      </c>
      <c r="E675" s="1" t="inlineStr">
        <is>
          <t>Пять сказок о любви. Андерсен Г.Х.</t>
        </is>
      </c>
      <c r="F675" s="13" t="inlineStr">
        <is>
          <t>См.обл.</t>
        </is>
      </c>
      <c r="G675" s="1" t="inlineStr">
        <is>
          <t>Андерсен Г.Х.</t>
        </is>
      </c>
      <c r="H675" s="1" t="inlineStr">
        <is>
          <t>84х108/16</t>
        </is>
      </c>
      <c r="I675" s="1" t="n">
        <v>184</v>
      </c>
      <c r="J675" s="1" t="inlineStr">
        <is>
          <t>РИПОЛ Классик</t>
        </is>
      </c>
      <c r="M675" s="1" t="inlineStr">
        <is>
          <t>2023</t>
        </is>
      </c>
      <c r="N675" s="1" t="inlineStr">
        <is>
          <t>П</t>
        </is>
      </c>
      <c r="O675" s="9" t="n">
        <v>8</v>
      </c>
      <c r="P675" s="1">
        <f>ROUNDUP(1820*(1-$F$3),2)</f>
        <v/>
      </c>
      <c r="Q675" s="1" t="inlineStr">
        <is>
          <t> </t>
        </is>
      </c>
      <c r="R675" s="1" t="inlineStr">
        <is>
          <t>978-5-386-14974-1</t>
        </is>
      </c>
      <c r="S675" s="1" t="inlineStr">
        <is>
          <t>9785386149741</t>
        </is>
      </c>
      <c r="T675" s="9" t="n">
        <v>10</v>
      </c>
      <c r="U675" s="1">
        <f>ROUNDUP(1654.55*(1-$F$3),2)</f>
        <v/>
      </c>
      <c r="V675" s="1" t="n">
        <v>698</v>
      </c>
      <c r="Y675" s="1" t="inlineStr">
        <is>
          <t>Пять сказок о любви</t>
        </is>
      </c>
      <c r="Z675" s="1" t="inlineStr">
        <is>
          <t>16+</t>
        </is>
      </c>
      <c r="AA675" s="12" t="n">
        <v>44987</v>
      </c>
      <c r="AB675" s="1" t="inlineStr">
        <is>
          <t>Детская литература</t>
        </is>
      </c>
      <c r="AC675" s="1" t="inlineStr">
        <is>
          <t>Художественная литература</t>
        </is>
      </c>
      <c r="AD675" s="1" t="inlineStr">
        <is>
          <t>Литературная сказка</t>
        </is>
      </c>
      <c r="AE675" s="1" t="inlineStr">
        <is>
          <t>офсетная</t>
        </is>
      </c>
      <c r="AG675" s="1" t="n">
        <v>10814090</v>
      </c>
      <c r="AI675" s="1" t="inlineStr">
        <is>
          <t>4901990000</t>
        </is>
      </c>
    </row>
    <row r="676" customFormat="1" s="1">
      <c r="C676" s="1" t="inlineStr">
        <is>
          <t xml:space="preserve">11503000            </t>
        </is>
      </c>
      <c r="D676" s="1" t="inlineStr">
        <is>
          <t>Коллекция "Метаморфозы"</t>
        </is>
      </c>
      <c r="E676" s="1" t="inlineStr">
        <is>
          <t>Рождественское чудо: Семь лучших историй о Рождестве в старинных открытках. Диккенс Ч., Гоголь Н.В., Гофман Э.Т.А.</t>
        </is>
      </c>
      <c r="F676" s="13" t="inlineStr">
        <is>
          <t>См.обл.</t>
        </is>
      </c>
      <c r="G676" s="1" t="inlineStr">
        <is>
          <t>Диккенс Ч., Гоголь Н.В., Гофман Э.Т.А.</t>
        </is>
      </c>
      <c r="H676" s="1" t="inlineStr">
        <is>
          <t>70х100/16</t>
        </is>
      </c>
      <c r="I676" s="1" t="n">
        <v>352</v>
      </c>
      <c r="J676" s="1" t="inlineStr">
        <is>
          <t>РИПОЛ Классик</t>
        </is>
      </c>
      <c r="M676" s="1" t="inlineStr">
        <is>
          <t>2026</t>
        </is>
      </c>
      <c r="N676" s="1" t="inlineStr">
        <is>
          <t>П</t>
        </is>
      </c>
      <c r="O676" s="9" t="n">
        <v>8</v>
      </c>
      <c r="P676" s="1">
        <f>ROUNDUP(2490*(1-$F$3),2)</f>
        <v/>
      </c>
      <c r="Q676" s="1" t="inlineStr">
        <is>
          <t> </t>
        </is>
      </c>
      <c r="R676" s="1" t="inlineStr">
        <is>
          <t>978-5-386-15311-3</t>
        </is>
      </c>
      <c r="S676" s="1" t="inlineStr">
        <is>
          <t>9785386153113</t>
        </is>
      </c>
      <c r="T676" s="9" t="n">
        <v>10</v>
      </c>
      <c r="U676" s="1">
        <f>ROUNDUP(2263.64*(1-$F$3),2)</f>
        <v/>
      </c>
      <c r="V676" s="1" t="n">
        <v>707</v>
      </c>
      <c r="Y676" s="1" t="inlineStr">
        <is>
          <t>Рождественское чудо: Семь лучших историй о Рождестве в старинных открытках</t>
        </is>
      </c>
      <c r="Z676" s="1" t="inlineStr">
        <is>
          <t>12+</t>
        </is>
      </c>
      <c r="AA676" s="12" t="n">
        <v>45618</v>
      </c>
      <c r="AB676" s="1" t="inlineStr">
        <is>
          <t>Детская литература</t>
        </is>
      </c>
      <c r="AC676" s="1" t="inlineStr">
        <is>
          <t>Художественная литература</t>
        </is>
      </c>
      <c r="AD676" s="1" t="inlineStr">
        <is>
          <t>Проза. Драматургия</t>
        </is>
      </c>
      <c r="AE676" s="1" t="inlineStr">
        <is>
          <t>мелованная</t>
        </is>
      </c>
      <c r="AG676" s="1" t="n">
        <v>11503000</v>
      </c>
      <c r="AI676" s="1" t="inlineStr">
        <is>
          <t>4901990000</t>
        </is>
      </c>
    </row>
    <row r="677" customFormat="1" s="1">
      <c r="C677" s="1" t="inlineStr">
        <is>
          <t xml:space="preserve">11897860            </t>
        </is>
      </c>
      <c r="D677" s="1" t="inlineStr">
        <is>
          <t>Коллекция "Метаморфозы"</t>
        </is>
      </c>
      <c r="E677" s="1" t="inlineStr">
        <is>
          <t>Собачье сердце. Роковые яйца. Булгаков М.А.</t>
        </is>
      </c>
      <c r="F677" s="13" t="inlineStr">
        <is>
          <t>См.обл.</t>
        </is>
      </c>
      <c r="G677" s="1" t="inlineStr">
        <is>
          <t>Булгаков М.А.</t>
        </is>
      </c>
      <c r="H677" s="1" t="inlineStr">
        <is>
          <t>70х100/16</t>
        </is>
      </c>
      <c r="I677" s="1" t="n">
        <v>280</v>
      </c>
      <c r="J677" s="1" t="inlineStr">
        <is>
          <t>РИПОЛ Классик</t>
        </is>
      </c>
      <c r="M677" s="1" t="inlineStr">
        <is>
          <t>2026</t>
        </is>
      </c>
      <c r="N677" s="1" t="inlineStr">
        <is>
          <t>П</t>
        </is>
      </c>
      <c r="O677" s="9" t="n">
        <v>5</v>
      </c>
      <c r="P677" s="1">
        <f>ROUNDUP(2510*(1-$F$3),2)</f>
        <v/>
      </c>
      <c r="Q677" s="1" t="inlineStr">
        <is>
          <t> </t>
        </is>
      </c>
      <c r="R677" s="1" t="inlineStr">
        <is>
          <t>978-5-386-15478-3</t>
        </is>
      </c>
      <c r="S677" s="1" t="inlineStr">
        <is>
          <t>9785386154783</t>
        </is>
      </c>
      <c r="T677" s="9" t="n">
        <v>10</v>
      </c>
      <c r="U677" s="1">
        <f>ROUNDUP(2281.82*(1-$F$3),2)</f>
        <v/>
      </c>
      <c r="V677" s="1" t="n">
        <v>926</v>
      </c>
      <c r="Y677" s="1" t="inlineStr">
        <is>
          <t>Собачье сердце. Роковые яйца</t>
        </is>
      </c>
      <c r="Z677" s="1" t="inlineStr">
        <is>
          <t>16+</t>
        </is>
      </c>
      <c r="AA677" s="12" t="n">
        <v>46013</v>
      </c>
      <c r="AB677" s="1" t="inlineStr">
        <is>
          <t>Художественная литература</t>
        </is>
      </c>
      <c r="AC677" s="1" t="inlineStr">
        <is>
          <t>Русская литература</t>
        </is>
      </c>
      <c r="AD677" s="1" t="inlineStr">
        <is>
          <t>Русская литература советского периода (1917-1991 гг.)</t>
        </is>
      </c>
      <c r="AE677" s="1" t="inlineStr">
        <is>
          <t>мелованная</t>
        </is>
      </c>
      <c r="AG677" s="1" t="n">
        <v>11897860</v>
      </c>
      <c r="AI677" s="1" t="inlineStr">
        <is>
          <t>4901990000</t>
        </is>
      </c>
    </row>
    <row r="678" customFormat="1" s="1">
      <c r="C678" s="1" t="inlineStr">
        <is>
          <t xml:space="preserve">9626420             </t>
        </is>
      </c>
      <c r="D678" s="1" t="inlineStr">
        <is>
          <t>Коллекция "Метаморфозы"</t>
        </is>
      </c>
      <c r="E678" s="1" t="inlineStr">
        <is>
          <t>Страшные рассказы. По Э.А.</t>
        </is>
      </c>
      <c r="F678" s="13" t="inlineStr">
        <is>
          <t>См.обл.</t>
        </is>
      </c>
      <c r="G678" s="1" t="inlineStr">
        <is>
          <t>По Э.А.</t>
        </is>
      </c>
      <c r="H678" s="1" t="inlineStr">
        <is>
          <t>60х88/8</t>
        </is>
      </c>
      <c r="I678" s="1" t="n">
        <v>224</v>
      </c>
      <c r="J678" s="1" t="inlineStr">
        <is>
          <t>РИПОЛ Классик</t>
        </is>
      </c>
      <c r="M678" s="1" t="inlineStr">
        <is>
          <t>2024</t>
        </is>
      </c>
      <c r="N678" s="1" t="inlineStr">
        <is>
          <t>П</t>
        </is>
      </c>
      <c r="O678" s="9" t="n">
        <v>4</v>
      </c>
      <c r="P678" s="1">
        <f>ROUNDUP(3605.8*(1-$F$3),2)</f>
        <v/>
      </c>
      <c r="Q678" s="1" t="inlineStr">
        <is>
          <t> </t>
        </is>
      </c>
      <c r="R678" s="1" t="inlineStr">
        <is>
          <t>978-5-386-13800-4</t>
        </is>
      </c>
      <c r="S678" s="1" t="inlineStr">
        <is>
          <t>9785386138004</t>
        </is>
      </c>
      <c r="T678" s="9" t="n">
        <v>10</v>
      </c>
      <c r="U678" s="1">
        <f>ROUNDUP(3278*(1-$F$3),2)</f>
        <v/>
      </c>
      <c r="V678" s="1" t="n">
        <v>1175</v>
      </c>
      <c r="Y678" s="1" t="inlineStr">
        <is>
          <t>Страшные рассказы</t>
        </is>
      </c>
      <c r="Z678" s="1" t="inlineStr">
        <is>
          <t>16+</t>
        </is>
      </c>
      <c r="AA678" s="12" t="n">
        <v>44266</v>
      </c>
      <c r="AB678" s="1" t="inlineStr">
        <is>
          <t>Художественная литература</t>
        </is>
      </c>
      <c r="AC678" s="1" t="inlineStr">
        <is>
          <t>Фантастика. Мистика. Ужасы</t>
        </is>
      </c>
      <c r="AD678" s="1" t="inlineStr">
        <is>
          <t>Мистика. Ужасы</t>
        </is>
      </c>
      <c r="AE678" s="1" t="inlineStr">
        <is>
          <t>мелованная</t>
        </is>
      </c>
      <c r="AG678" s="1" t="n">
        <v>9626420</v>
      </c>
      <c r="AI678" s="1" t="inlineStr">
        <is>
          <t>4901990000</t>
        </is>
      </c>
    </row>
    <row r="679" customFormat="1" s="1">
      <c r="C679" s="1" t="inlineStr">
        <is>
          <t xml:space="preserve">10013020            </t>
        </is>
      </c>
      <c r="D679" s="1" t="inlineStr">
        <is>
          <t>Коллекция "Метаморфозы"</t>
        </is>
      </c>
      <c r="E679" s="1" t="inlineStr">
        <is>
          <t>Страшные рассказы. Т. 2. По Э.А.</t>
        </is>
      </c>
      <c r="F679" s="13" t="inlineStr">
        <is>
          <t>См.обл.</t>
        </is>
      </c>
      <c r="G679" s="1" t="inlineStr">
        <is>
          <t>По Э.А.</t>
        </is>
      </c>
      <c r="H679" s="1" t="inlineStr">
        <is>
          <t>60х84/8</t>
        </is>
      </c>
      <c r="I679" s="1" t="n">
        <v>204</v>
      </c>
      <c r="J679" s="1" t="inlineStr">
        <is>
          <t>РИПОЛ Классик</t>
        </is>
      </c>
      <c r="M679" s="1" t="inlineStr">
        <is>
          <t>2025</t>
        </is>
      </c>
      <c r="N679" s="1" t="inlineStr">
        <is>
          <t>П</t>
        </is>
      </c>
      <c r="O679" s="9" t="n">
        <v>5</v>
      </c>
      <c r="P679" s="1">
        <f>ROUNDUP(3380*(1-$F$3),2)</f>
        <v/>
      </c>
      <c r="Q679" s="1" t="inlineStr">
        <is>
          <t> </t>
        </is>
      </c>
      <c r="R679" s="1" t="inlineStr">
        <is>
          <t>978-5-386-14491-3</t>
        </is>
      </c>
      <c r="S679" s="1" t="inlineStr">
        <is>
          <t>9785386144913</t>
        </is>
      </c>
      <c r="T679" s="9" t="n">
        <v>10</v>
      </c>
      <c r="U679" s="1">
        <f>ROUNDUP(3072.73*(1-$F$3),2)</f>
        <v/>
      </c>
      <c r="V679" s="1" t="n">
        <v>938</v>
      </c>
      <c r="Y679" s="1" t="inlineStr">
        <is>
          <t>Страшные рассказы. Т. 2</t>
        </is>
      </c>
      <c r="Z679" s="1" t="inlineStr">
        <is>
          <t>16+</t>
        </is>
      </c>
      <c r="AA679" s="12" t="n">
        <v>44579</v>
      </c>
      <c r="AB679" s="1" t="inlineStr">
        <is>
          <t>Художественная литература</t>
        </is>
      </c>
      <c r="AC679" s="1" t="inlineStr">
        <is>
          <t>Фантастика. Мистика. Ужасы</t>
        </is>
      </c>
      <c r="AD679" s="1" t="inlineStr">
        <is>
          <t>Мистика. Ужасы</t>
        </is>
      </c>
      <c r="AE679" s="1" t="inlineStr">
        <is>
          <t>мелованная</t>
        </is>
      </c>
      <c r="AG679" s="1" t="n">
        <v>10013020</v>
      </c>
      <c r="AI679" s="1" t="inlineStr">
        <is>
          <t>4901990000</t>
        </is>
      </c>
    </row>
    <row r="680" customFormat="1" s="1">
      <c r="C680" s="1" t="inlineStr">
        <is>
          <t xml:space="preserve">11038430            </t>
        </is>
      </c>
      <c r="D680" s="1" t="inlineStr">
        <is>
          <t>Коллекция "Метаморфозы"</t>
        </is>
      </c>
      <c r="E680" s="1" t="inlineStr">
        <is>
          <t>Тень над Иннсмутом. Лавкрафт Г.Ф.</t>
        </is>
      </c>
      <c r="F680" s="13" t="inlineStr">
        <is>
          <t>См.обл.</t>
        </is>
      </c>
      <c r="G680" s="1" t="inlineStr">
        <is>
          <t>Лавкрафт Г.Ф.</t>
        </is>
      </c>
      <c r="H680" s="1" t="inlineStr">
        <is>
          <t>70х100/16</t>
        </is>
      </c>
      <c r="I680" s="1" t="n">
        <v>336</v>
      </c>
      <c r="J680" s="1" t="inlineStr">
        <is>
          <t>РИПОЛ Классик</t>
        </is>
      </c>
      <c r="M680" s="1" t="inlineStr">
        <is>
          <t>2023</t>
        </is>
      </c>
      <c r="N680" s="1" t="inlineStr">
        <is>
          <t>П</t>
        </is>
      </c>
      <c r="O680" s="9" t="n">
        <v>6</v>
      </c>
      <c r="P680" s="1">
        <f>ROUNDUP(1540*(1-$F$3),2)</f>
        <v/>
      </c>
      <c r="Q680" s="1" t="inlineStr">
        <is>
          <t> </t>
        </is>
      </c>
      <c r="R680" s="1" t="inlineStr">
        <is>
          <t>978-5-386-15022-8</t>
        </is>
      </c>
      <c r="S680" s="1" t="inlineStr">
        <is>
          <t>9785386150228</t>
        </is>
      </c>
      <c r="T680" s="9" t="n">
        <v>10</v>
      </c>
      <c r="U680" s="1">
        <f>ROUNDUP(1400*(1-$F$3),2)</f>
        <v/>
      </c>
      <c r="V680" s="1" t="n">
        <v>833</v>
      </c>
      <c r="Y680" s="1" t="inlineStr">
        <is>
          <t>Тень над Иннсмутом</t>
        </is>
      </c>
      <c r="Z680" s="1" t="inlineStr">
        <is>
          <t>16+</t>
        </is>
      </c>
      <c r="AA680" s="12" t="n">
        <v>45165</v>
      </c>
      <c r="AB680" s="1" t="inlineStr">
        <is>
          <t>Художественная литература</t>
        </is>
      </c>
      <c r="AC680" s="1" t="inlineStr">
        <is>
          <t>Фантастика. Мистика. Ужасы</t>
        </is>
      </c>
      <c r="AD680" s="1" t="inlineStr">
        <is>
          <t>Мистика. Ужасы</t>
        </is>
      </c>
      <c r="AE680" s="1" t="inlineStr">
        <is>
          <t>офсетная</t>
        </is>
      </c>
      <c r="AG680" s="1" t="n">
        <v>11038430</v>
      </c>
      <c r="AI680" s="1" t="inlineStr">
        <is>
          <t>4901990000</t>
        </is>
      </c>
    </row>
    <row r="681" customFormat="1" s="1">
      <c r="C681" s="1" t="inlineStr">
        <is>
          <t xml:space="preserve">9531640             </t>
        </is>
      </c>
      <c r="D681" s="1" t="inlineStr">
        <is>
          <t>Коллекция "Метаморфозы"</t>
        </is>
      </c>
      <c r="E681" s="1" t="inlineStr">
        <is>
          <t>Торнхилл: графический роман. Смай П.</t>
        </is>
      </c>
      <c r="F681" s="13" t="inlineStr">
        <is>
          <t>См.обл.</t>
        </is>
      </c>
      <c r="G681" s="1" t="inlineStr">
        <is>
          <t>Смай П.</t>
        </is>
      </c>
      <c r="H681" s="1" t="inlineStr">
        <is>
          <t>60х90/16</t>
        </is>
      </c>
      <c r="I681" s="1" t="n">
        <v>544</v>
      </c>
      <c r="J681" s="1" t="inlineStr">
        <is>
          <t>РИПОЛ Классик</t>
        </is>
      </c>
      <c r="M681" s="1" t="inlineStr">
        <is>
          <t>2022</t>
        </is>
      </c>
      <c r="N681" s="1" t="inlineStr">
        <is>
          <t>П</t>
        </is>
      </c>
      <c r="O681" s="9" t="n">
        <v>4</v>
      </c>
      <c r="P681" s="1">
        <f>ROUNDUP(1550*(1-$F$3),2)</f>
        <v/>
      </c>
      <c r="Q681" s="1" t="inlineStr">
        <is>
          <t> </t>
        </is>
      </c>
      <c r="R681" s="1" t="inlineStr">
        <is>
          <t>978-5-386-12375-8</t>
        </is>
      </c>
      <c r="S681" s="1" t="inlineStr">
        <is>
          <t>9785386123758</t>
        </is>
      </c>
      <c r="T681" s="9" t="n">
        <v>10</v>
      </c>
      <c r="U681" s="1">
        <f>ROUNDUP(1409.09*(1-$F$3),2)</f>
        <v/>
      </c>
      <c r="V681" s="1" t="n">
        <v>977</v>
      </c>
      <c r="Y681" s="1" t="inlineStr">
        <is>
          <t>Торнхилл: графический роман</t>
        </is>
      </c>
      <c r="Z681" s="1" t="inlineStr">
        <is>
          <t>16+</t>
        </is>
      </c>
      <c r="AA681" s="12" t="n">
        <v>44165</v>
      </c>
      <c r="AB681" s="1" t="inlineStr">
        <is>
          <t>Художественная литература</t>
        </is>
      </c>
      <c r="AC681" s="1" t="inlineStr">
        <is>
          <t>Зарубежная литература</t>
        </is>
      </c>
      <c r="AD681" s="1" t="inlineStr">
        <is>
          <t>Европейская литература</t>
        </is>
      </c>
      <c r="AE681" s="1" t="inlineStr">
        <is>
          <t>офсетная</t>
        </is>
      </c>
      <c r="AG681" s="1" t="n">
        <v>9531640</v>
      </c>
      <c r="AI681" s="1" t="inlineStr">
        <is>
          <t>4901990000</t>
        </is>
      </c>
    </row>
    <row r="682" customFormat="1" s="1">
      <c r="C682" s="1" t="inlineStr">
        <is>
          <t xml:space="preserve">11865940            </t>
        </is>
      </c>
      <c r="D682" s="1" t="inlineStr">
        <is>
          <t>Коллекция "Метаморфозы"</t>
        </is>
      </c>
      <c r="E682" s="1" t="inlineStr">
        <is>
          <t>Чудо Рождества: святочные рассказы русских писателей. Чехов А.П., Лесков Н.С., Чарская Л.А.</t>
        </is>
      </c>
      <c r="F682" s="13" t="inlineStr">
        <is>
          <t>См.обл.</t>
        </is>
      </c>
      <c r="G682" s="1" t="inlineStr">
        <is>
          <t>Чехов А.П., Лесков Н.С., Чарская Л.А.</t>
        </is>
      </c>
      <c r="H682" s="1" t="inlineStr">
        <is>
          <t>70х100/16</t>
        </is>
      </c>
      <c r="I682" s="1" t="n">
        <v>296</v>
      </c>
      <c r="J682" s="1" t="inlineStr">
        <is>
          <t>РИПОЛ Классик</t>
        </is>
      </c>
      <c r="M682" s="1" t="inlineStr">
        <is>
          <t>2025</t>
        </is>
      </c>
      <c r="N682" s="1" t="inlineStr">
        <is>
          <t>П</t>
        </is>
      </c>
      <c r="O682" s="9" t="n">
        <v>6</v>
      </c>
      <c r="P682" s="1">
        <f>ROUNDUP(2050*(1-$F$3),2)</f>
        <v/>
      </c>
      <c r="Q682" s="1" t="inlineStr">
        <is>
          <t> </t>
        </is>
      </c>
      <c r="R682" s="1" t="inlineStr">
        <is>
          <t>978-5-386-15494-3</t>
        </is>
      </c>
      <c r="S682" s="1" t="inlineStr">
        <is>
          <t>9785386154943</t>
        </is>
      </c>
      <c r="T682" s="9" t="n">
        <v>10</v>
      </c>
      <c r="U682" s="1">
        <f>ROUNDUP(1863.64*(1-$F$3),2)</f>
        <v/>
      </c>
      <c r="V682" s="1" t="n">
        <v>784</v>
      </c>
      <c r="Y682" s="1" t="inlineStr">
        <is>
          <t>Чудо Рождества: святочные рассказы русских писателей</t>
        </is>
      </c>
      <c r="Z682" s="1" t="inlineStr">
        <is>
          <t>12+</t>
        </is>
      </c>
      <c r="AA682" s="12" t="n">
        <v>45930</v>
      </c>
      <c r="AB682" s="1" t="inlineStr">
        <is>
          <t>Художественная литература</t>
        </is>
      </c>
      <c r="AC682" s="1" t="inlineStr">
        <is>
          <t>Русская литература</t>
        </is>
      </c>
      <c r="AD682" s="1" t="inlineStr">
        <is>
          <t>Русская литература XVIII-нач. XX вв. (до 1917 г.)</t>
        </is>
      </c>
      <c r="AE682" s="1" t="inlineStr">
        <is>
          <t>мелованная</t>
        </is>
      </c>
      <c r="AG682" s="1" t="n">
        <v>11865940</v>
      </c>
      <c r="AI682" s="1" t="inlineStr">
        <is>
          <t>4901990000</t>
        </is>
      </c>
    </row>
    <row r="683" customFormat="1" s="1">
      <c r="C683" s="1" t="inlineStr">
        <is>
          <t>11451050</t>
        </is>
      </c>
      <c r="D683" s="1" t="inlineStr">
        <is>
          <t>Комплекты</t>
        </is>
      </c>
      <c r="E683" s="1" t="inlineStr">
        <is>
          <t xml:space="preserve">24 закона обольщения для достижения власти; 33 стратегии войны; 48 законов власти (комплект из 3-х книг). Грин Р.                                           </t>
        </is>
      </c>
      <c r="F683" s="13" t="inlineStr">
        <is>
          <t>См.обл.</t>
        </is>
      </c>
      <c r="G683" s="1" t="inlineStr">
        <is>
          <t xml:space="preserve">Грин Р.                                           </t>
        </is>
      </c>
      <c r="H683" s="1" t="inlineStr">
        <is>
          <t>76х100/32</t>
        </is>
      </c>
      <c r="I683" s="1" t="n">
        <v>882</v>
      </c>
      <c r="J683" s="1" t="inlineStr">
        <is>
          <t>РИПОЛ Классик</t>
        </is>
      </c>
      <c r="M683" s="1" t="inlineStr">
        <is>
          <t>2026</t>
        </is>
      </c>
      <c r="N683" s="1" t="inlineStr">
        <is>
          <t>О</t>
        </is>
      </c>
      <c r="O683" s="9" t="n"/>
      <c r="P683" s="1">
        <f>ROUNDUP(2000*(1-$F$3),2)</f>
        <v/>
      </c>
      <c r="Q683" s="1" t="inlineStr">
        <is>
          <t> </t>
        </is>
      </c>
      <c r="R683" s="1" t="inlineStr">
        <is>
          <t>978-5-521-83161-6</t>
        </is>
      </c>
      <c r="S683" s="1" t="inlineStr">
        <is>
          <t>9785521831616</t>
        </is>
      </c>
      <c r="T683" s="9" t="n">
        <v>10</v>
      </c>
      <c r="U683" s="1">
        <f>ROUNDUP(1818.18*(1-$F$3),2)</f>
        <v/>
      </c>
      <c r="V683" s="1" t="n">
        <v>466</v>
      </c>
      <c r="Y683" s="1" t="inlineStr">
        <is>
          <t>24 закона обольщения для достижения власти; 33 стратегии войны; 48 законов власти (комплект из 3-х книг)</t>
        </is>
      </c>
      <c r="Z683" s="1" t="inlineStr">
        <is>
          <t>16+</t>
        </is>
      </c>
      <c r="AA683" s="12" t="n">
        <v>45531</v>
      </c>
      <c r="AB683" s="1" t="inlineStr">
        <is>
          <t>Гуманитарные науки</t>
        </is>
      </c>
      <c r="AC683" s="1" t="inlineStr">
        <is>
          <t>Психология</t>
        </is>
      </c>
      <c r="AD683" s="1" t="inlineStr">
        <is>
          <t>Социальная психология. Психология отношений. Коммуникации</t>
        </is>
      </c>
      <c r="AE683" s="1" t="inlineStr">
        <is>
          <t>офсетная</t>
        </is>
      </c>
      <c r="AG683" s="1" t="n">
        <v>11451050</v>
      </c>
      <c r="AI683" s="1" t="inlineStr">
        <is>
          <t>4901990000</t>
        </is>
      </c>
    </row>
    <row r="684" customFormat="1" s="1">
      <c r="C684" s="1" t="inlineStr">
        <is>
          <t>11451840</t>
        </is>
      </c>
      <c r="D684" s="1" t="inlineStr">
        <is>
          <t>Комплекты</t>
        </is>
      </c>
      <c r="E684" s="1" t="inlineStr">
        <is>
          <t>33 стратегии войны; KARMACOACH (комплект из 2-х книг). Грин Р., Ситников А.П.</t>
        </is>
      </c>
      <c r="F684" s="13" t="inlineStr">
        <is>
          <t>См.обл.</t>
        </is>
      </c>
      <c r="G684" s="1" t="inlineStr">
        <is>
          <t>Грин Р., Ситников А.П.</t>
        </is>
      </c>
      <c r="H684" s="1" t="inlineStr">
        <is>
          <t>70х100/16</t>
        </is>
      </c>
      <c r="I684" s="1" t="n">
        <v>1840</v>
      </c>
      <c r="J684" s="1" t="inlineStr">
        <is>
          <t>РИПОЛ Классик</t>
        </is>
      </c>
      <c r="M684" s="1" t="inlineStr">
        <is>
          <t>2024</t>
        </is>
      </c>
      <c r="N684" s="1" t="inlineStr">
        <is>
          <t>П</t>
        </is>
      </c>
      <c r="O684" s="9" t="n">
        <v>1</v>
      </c>
      <c r="P684" s="1">
        <f>ROUNDUP(6300*(1-$F$3),2)</f>
        <v/>
      </c>
      <c r="Q684" s="1" t="inlineStr">
        <is>
          <t> </t>
        </is>
      </c>
      <c r="R684" s="1" t="inlineStr">
        <is>
          <t>978-5-521-83556-0</t>
        </is>
      </c>
      <c r="S684" s="1" t="inlineStr">
        <is>
          <t>9785521835560</t>
        </is>
      </c>
      <c r="T684" s="9" t="n">
        <v>10</v>
      </c>
      <c r="U684" s="1">
        <f>ROUNDUP(5727.27*(1-$F$3),2)</f>
        <v/>
      </c>
      <c r="V684" s="1" t="n">
        <v>2945</v>
      </c>
      <c r="Y684" s="1" t="inlineStr">
        <is>
          <t>33 стратегии войны; KARMACOACH (комплект из 2-х книг)</t>
        </is>
      </c>
      <c r="Z684" s="1" t="inlineStr">
        <is>
          <t>16+</t>
        </is>
      </c>
      <c r="AA684" s="12" t="n">
        <v>45531</v>
      </c>
      <c r="AB684" s="1" t="inlineStr">
        <is>
          <t>Гуманитарные науки</t>
        </is>
      </c>
      <c r="AC684" s="1" t="inlineStr">
        <is>
          <t>Психология</t>
        </is>
      </c>
      <c r="AD684" s="1" t="inlineStr">
        <is>
          <t>Психология личности. Характер. Личностный рост</t>
        </is>
      </c>
      <c r="AE684" s="1" t="inlineStr">
        <is>
          <t>офсетная</t>
        </is>
      </c>
      <c r="AG684" s="1" t="n">
        <v>11451840</v>
      </c>
      <c r="AI684" s="1" t="inlineStr">
        <is>
          <t>4901990000</t>
        </is>
      </c>
    </row>
    <row r="685" customFormat="1" s="1">
      <c r="C685" s="1" t="inlineStr">
        <is>
          <t>11175100</t>
        </is>
      </c>
      <c r="D685" s="1" t="inlineStr">
        <is>
          <t>Комплекты</t>
        </is>
      </c>
      <c r="E685" s="1" t="inlineStr">
        <is>
          <t>48 законов власти и 33 стратегии войны (в pocket&amp;travel комплект из 2-х книг). Грин Р.</t>
        </is>
      </c>
      <c r="F685" s="13" t="inlineStr">
        <is>
          <t>См.обл.</t>
        </is>
      </c>
      <c r="G685" s="1" t="inlineStr">
        <is>
          <t>Грин Р.</t>
        </is>
      </c>
      <c r="H685" s="1" t="inlineStr">
        <is>
          <t>80х100/32</t>
        </is>
      </c>
      <c r="I685" s="1" t="n">
        <v>624</v>
      </c>
      <c r="J685" s="1" t="inlineStr">
        <is>
          <t>РИПОЛ Классик</t>
        </is>
      </c>
      <c r="M685" s="1" t="inlineStr">
        <is>
          <t>2026</t>
        </is>
      </c>
      <c r="N685" s="1" t="inlineStr">
        <is>
          <t>О</t>
        </is>
      </c>
      <c r="O685" s="9" t="n"/>
      <c r="P685" s="1">
        <f>ROUNDUP(1000*(1-$F$3),2)</f>
        <v/>
      </c>
      <c r="Q685" s="1" t="inlineStr">
        <is>
          <t> </t>
        </is>
      </c>
      <c r="R685" s="1" t="inlineStr">
        <is>
          <t>978-5-521-82051-1</t>
        </is>
      </c>
      <c r="S685" s="1" t="inlineStr">
        <is>
          <t>9785521820511</t>
        </is>
      </c>
      <c r="T685" s="9" t="n">
        <v>10</v>
      </c>
      <c r="U685" s="1">
        <f>ROUNDUP(909.09*(1-$F$3),2)</f>
        <v/>
      </c>
      <c r="V685" s="1" t="n">
        <v>313</v>
      </c>
      <c r="Y685" s="1" t="inlineStr">
        <is>
          <t>48 законов власти и 33 стратегии войны (в pocket&amp;travel комплект из 2-х книг)</t>
        </is>
      </c>
      <c r="Z685" s="1" t="inlineStr">
        <is>
          <t>16+</t>
        </is>
      </c>
      <c r="AA685" s="12" t="n">
        <v>45265</v>
      </c>
      <c r="AB685" s="1" t="inlineStr">
        <is>
          <t>Гуманитарные науки</t>
        </is>
      </c>
      <c r="AC685" s="1" t="inlineStr">
        <is>
          <t>Психология</t>
        </is>
      </c>
      <c r="AD685" s="1" t="inlineStr">
        <is>
          <t>Социальная психология. Психология отношений. Коммуникации</t>
        </is>
      </c>
      <c r="AE685" s="1" t="inlineStr">
        <is>
          <t>газетная</t>
        </is>
      </c>
      <c r="AG685" s="1" t="n">
        <v>11175100</v>
      </c>
      <c r="AI685" s="1" t="inlineStr">
        <is>
          <t>4901990000</t>
        </is>
      </c>
    </row>
    <row r="686" customFormat="1" s="1">
      <c r="C686" s="1" t="inlineStr">
        <is>
          <t>11175050</t>
        </is>
      </c>
      <c r="D686" s="1" t="inlineStr">
        <is>
          <t>Комплекты</t>
        </is>
      </c>
      <c r="E686" s="1" t="inlineStr">
        <is>
          <t>48 законов власти и 33 стратегии войны (комплект из 2-х книг). Грин Р.</t>
        </is>
      </c>
      <c r="F686" s="13" t="inlineStr">
        <is>
          <t>См.обл.</t>
        </is>
      </c>
      <c r="G686" s="1" t="inlineStr">
        <is>
          <t>Грин Р.</t>
        </is>
      </c>
      <c r="H686" s="1" t="inlineStr">
        <is>
          <t>60х90/16</t>
        </is>
      </c>
      <c r="I686" s="1" t="n">
        <v>1664</v>
      </c>
      <c r="J686" s="1" t="inlineStr">
        <is>
          <t>РИПОЛ Классик</t>
        </is>
      </c>
      <c r="M686" s="1" t="inlineStr">
        <is>
          <t>2026</t>
        </is>
      </c>
      <c r="N686" s="1" t="inlineStr">
        <is>
          <t>О</t>
        </is>
      </c>
      <c r="O686" s="9" t="n"/>
      <c r="P686" s="1">
        <f>ROUNDUP(2210*(1-$F$3),2)</f>
        <v/>
      </c>
      <c r="Q686" s="1" t="inlineStr">
        <is>
          <t> </t>
        </is>
      </c>
      <c r="R686" s="1" t="inlineStr">
        <is>
          <t>978-5-521-82050-4</t>
        </is>
      </c>
      <c r="S686" s="1" t="inlineStr">
        <is>
          <t>9785521820504</t>
        </is>
      </c>
      <c r="T686" s="9" t="n">
        <v>10</v>
      </c>
      <c r="U686" s="1">
        <f>ROUNDUP(2009.09*(1-$F$3),2)</f>
        <v/>
      </c>
      <c r="V686" s="1" t="n">
        <v>1315</v>
      </c>
      <c r="Y686" s="1" t="inlineStr">
        <is>
          <t>48 законов власти и 33 стратегии войны (комплект из 2-х книг)</t>
        </is>
      </c>
      <c r="Z686" s="1" t="inlineStr">
        <is>
          <t>16+</t>
        </is>
      </c>
      <c r="AA686" s="12" t="n">
        <v>45265</v>
      </c>
      <c r="AB686" s="1" t="inlineStr">
        <is>
          <t>Общественные науки</t>
        </is>
      </c>
      <c r="AC686" s="1" t="inlineStr">
        <is>
          <t>Политика</t>
        </is>
      </c>
      <c r="AD686" s="1" t="inlineStr">
        <is>
          <t>Государственное управление. Власть</t>
        </is>
      </c>
      <c r="AE686" s="1" t="inlineStr">
        <is>
          <t>офсетная</t>
        </is>
      </c>
      <c r="AG686" s="1" t="n">
        <v>11175050</v>
      </c>
      <c r="AI686" s="1" t="inlineStr">
        <is>
          <t>4901990000</t>
        </is>
      </c>
    </row>
    <row r="687" customFormat="1" s="1">
      <c r="C687" s="1" t="inlineStr">
        <is>
          <t>11451660</t>
        </is>
      </c>
      <c r="D687" s="1" t="inlineStr">
        <is>
          <t>Комплекты</t>
        </is>
      </c>
      <c r="E687" s="1" t="inlineStr">
        <is>
          <t>48 законов власти; Кризис и Власть: Т. 1: Лестница в небо; Т. 2: Люди Власти ( комплект из 3-х книг). Грин Р., Хазин М.Л., Щеглов С.И.</t>
        </is>
      </c>
      <c r="F687" s="13" t="inlineStr">
        <is>
          <t>См.обл.</t>
        </is>
      </c>
      <c r="G687" s="1" t="inlineStr">
        <is>
          <t>Грин Р., Хазин М.Л., Щеглов С.И.</t>
        </is>
      </c>
      <c r="H687" s="1" t="inlineStr">
        <is>
          <t>70х100/16</t>
        </is>
      </c>
      <c r="I687" s="1" t="n">
        <v>1840</v>
      </c>
      <c r="J687" s="1" t="inlineStr">
        <is>
          <t>РИПОЛ Классик</t>
        </is>
      </c>
      <c r="M687" s="1" t="inlineStr">
        <is>
          <t>2026</t>
        </is>
      </c>
      <c r="N687" s="1" t="inlineStr">
        <is>
          <t>П</t>
        </is>
      </c>
      <c r="O687" s="9" t="n"/>
      <c r="P687" s="1">
        <f>ROUNDUP(4790*(1-$F$3),2)</f>
        <v/>
      </c>
      <c r="Q687" s="1" t="inlineStr">
        <is>
          <t> </t>
        </is>
      </c>
      <c r="R687" s="1" t="inlineStr">
        <is>
          <t>978-5-521-83836-3</t>
        </is>
      </c>
      <c r="S687" s="1" t="inlineStr">
        <is>
          <t>9785521838363</t>
        </is>
      </c>
      <c r="T687" s="9" t="n">
        <v>10</v>
      </c>
      <c r="U687" s="1">
        <f>ROUNDUP(4354.55*(1-$F$3),2)</f>
        <v/>
      </c>
      <c r="V687" s="1" t="n">
        <v>2619</v>
      </c>
      <c r="Y687" s="1" t="inlineStr">
        <is>
          <t>48 законов власти; Кризис и Власть: Т. 1: Лестница в небо; Т. 2: Люди Власти ( комплект из 3-х книг)</t>
        </is>
      </c>
      <c r="Z687" s="1" t="inlineStr">
        <is>
          <t>16+</t>
        </is>
      </c>
      <c r="AA687" s="12" t="n">
        <v>45531</v>
      </c>
      <c r="AB687" s="1" t="inlineStr">
        <is>
          <t>Общественные науки</t>
        </is>
      </c>
      <c r="AC687" s="1" t="inlineStr">
        <is>
          <t>Политика</t>
        </is>
      </c>
      <c r="AD687" s="1" t="inlineStr">
        <is>
          <t>Государственное управление. Власть</t>
        </is>
      </c>
      <c r="AE687" s="1" t="inlineStr">
        <is>
          <t>офсетная</t>
        </is>
      </c>
      <c r="AG687" s="1" t="n">
        <v>11451660</v>
      </c>
      <c r="AI687" s="1" t="inlineStr">
        <is>
          <t>4901990000</t>
        </is>
      </c>
    </row>
    <row r="688" customFormat="1" s="1">
      <c r="C688" s="1" t="inlineStr">
        <is>
          <t>11451850</t>
        </is>
      </c>
      <c r="D688" s="1" t="inlineStr">
        <is>
          <t>Комплекты</t>
        </is>
      </c>
      <c r="E688" s="1" t="inlineStr">
        <is>
          <t>KARMALOGIC + вкладыш; 48 законов власти (комплект из 2-х книг). Грин Р., Ситников А.П.</t>
        </is>
      </c>
      <c r="F688" s="13" t="inlineStr">
        <is>
          <t>См.обл.</t>
        </is>
      </c>
      <c r="G688" s="1" t="inlineStr">
        <is>
          <t>Грин Р., Ситников А.П.</t>
        </is>
      </c>
      <c r="H688" s="1" t="inlineStr">
        <is>
          <t>70х100/16</t>
        </is>
      </c>
      <c r="I688" s="1" t="n">
        <v>1608</v>
      </c>
      <c r="J688" s="1" t="inlineStr">
        <is>
          <t>РИПОЛ Классик</t>
        </is>
      </c>
      <c r="M688" s="1" t="inlineStr">
        <is>
          <t>2025</t>
        </is>
      </c>
      <c r="N688" s="1" t="inlineStr">
        <is>
          <t>П</t>
        </is>
      </c>
      <c r="O688" s="9" t="n">
        <v>1</v>
      </c>
      <c r="P688" s="1">
        <f>ROUNDUP(5500*(1-$F$3),2)</f>
        <v/>
      </c>
      <c r="Q688" s="1" t="inlineStr">
        <is>
          <t> </t>
        </is>
      </c>
      <c r="R688" s="1" t="inlineStr">
        <is>
          <t>978-5-521-83561-4</t>
        </is>
      </c>
      <c r="S688" s="1" t="inlineStr">
        <is>
          <t>9785521835614</t>
        </is>
      </c>
      <c r="T688" s="9" t="n">
        <v>10</v>
      </c>
      <c r="U688" s="1">
        <f>ROUNDUP(5000*(1-$F$3),2)</f>
        <v/>
      </c>
      <c r="V688" s="1" t="n">
        <v>2585</v>
      </c>
      <c r="Y688" s="1" t="inlineStr">
        <is>
          <t>KARMALOGIC + вкладыш; 48 законов власти (комплект из 2-х книг)</t>
        </is>
      </c>
      <c r="Z688" s="1" t="inlineStr">
        <is>
          <t>16+</t>
        </is>
      </c>
      <c r="AA688" s="12" t="n">
        <v>45531</v>
      </c>
      <c r="AB688" s="1" t="inlineStr">
        <is>
          <t>Гуманитарные науки</t>
        </is>
      </c>
      <c r="AC688" s="1" t="inlineStr">
        <is>
          <t>Психология</t>
        </is>
      </c>
      <c r="AD688" s="1" t="inlineStr">
        <is>
          <t>Психология личности. Характер. Личностный рост</t>
        </is>
      </c>
      <c r="AE688" s="1" t="inlineStr">
        <is>
          <t>офсетная</t>
        </is>
      </c>
      <c r="AG688" s="1" t="n">
        <v>11451850</v>
      </c>
      <c r="AI688" s="1" t="inlineStr">
        <is>
          <t>4901990000</t>
        </is>
      </c>
    </row>
    <row r="689" customFormat="1" s="1">
      <c r="C689" s="1" t="inlineStr">
        <is>
          <t>11524160</t>
        </is>
      </c>
      <c r="D689" s="1" t="inlineStr">
        <is>
          <t>Комплекты</t>
        </is>
      </c>
      <c r="E689" s="1" t="inlineStr">
        <is>
          <t>KARMALOGIC. Краткая версия (обл.); KARMAMAGIC. Краткая версия (обл.) (комплект). Ситников А.П.</t>
        </is>
      </c>
      <c r="F689" s="13" t="inlineStr">
        <is>
          <t>См.обл.</t>
        </is>
      </c>
      <c r="G689" s="1" t="inlineStr">
        <is>
          <t>Ситников А.П.</t>
        </is>
      </c>
      <c r="H689" s="1" t="inlineStr">
        <is>
          <t>76х100/32</t>
        </is>
      </c>
      <c r="I689" s="1" t="n">
        <v>1232</v>
      </c>
      <c r="J689" s="1" t="inlineStr">
        <is>
          <t>РИПОЛ Классик</t>
        </is>
      </c>
      <c r="M689" s="1" t="inlineStr">
        <is>
          <t>2024</t>
        </is>
      </c>
      <c r="N689" s="1" t="inlineStr">
        <is>
          <t>О</t>
        </is>
      </c>
      <c r="O689" s="9" t="n"/>
      <c r="P689" s="1">
        <f>ROUNDUP(2250*(1-$F$3),2)</f>
        <v/>
      </c>
      <c r="Q689" s="1" t="inlineStr">
        <is>
          <t> </t>
        </is>
      </c>
      <c r="R689" s="1" t="inlineStr">
        <is>
          <t>978-5-521-83731-1</t>
        </is>
      </c>
      <c r="S689" s="1" t="inlineStr">
        <is>
          <t>9785521837311</t>
        </is>
      </c>
      <c r="T689" s="9" t="n">
        <v>10</v>
      </c>
      <c r="U689" s="1">
        <f>ROUNDUP(2045.45*(1-$F$3),2)</f>
        <v/>
      </c>
      <c r="V689" s="1" t="n">
        <v>863</v>
      </c>
      <c r="Y689" s="1" t="inlineStr">
        <is>
          <t>KARMALOGIC. Краткая версия (обл.); KARMAMAGIC. Краткая версия (обл.) (комплект)</t>
        </is>
      </c>
      <c r="Z689" s="1" t="inlineStr">
        <is>
          <t>16+</t>
        </is>
      </c>
      <c r="AA689" s="12" t="n">
        <v>45586</v>
      </c>
      <c r="AB689" s="1" t="inlineStr">
        <is>
          <t>Гуманитарные науки</t>
        </is>
      </c>
      <c r="AC689" s="1" t="inlineStr">
        <is>
          <t>Психология</t>
        </is>
      </c>
      <c r="AD689" s="1" t="inlineStr">
        <is>
          <t>Психология личности. Характер. Личностный рост</t>
        </is>
      </c>
      <c r="AE689" s="1" t="inlineStr">
        <is>
          <t>офсетная</t>
        </is>
      </c>
      <c r="AG689" s="1" t="n">
        <v>11524160</v>
      </c>
      <c r="AI689" s="1" t="inlineStr">
        <is>
          <t>4901990000</t>
        </is>
      </c>
    </row>
    <row r="690" customFormat="1" s="1">
      <c r="C690" s="1" t="inlineStr">
        <is>
          <t>10411700</t>
        </is>
      </c>
      <c r="D690" s="1" t="inlineStr">
        <is>
          <t>Комплекты</t>
        </is>
      </c>
      <c r="E690" s="1" t="inlineStr">
        <is>
          <t>Антология ужаса. Вып. 1 (комплект из 3-х книг). По Э.А., Эльснер А.О., Арсдейл П. Ван</t>
        </is>
      </c>
      <c r="F690" s="13" t="inlineStr">
        <is>
          <t>См.обл.</t>
        </is>
      </c>
      <c r="G690" s="1" t="inlineStr">
        <is>
          <t>По Э.А., Эльснер А.О., Арсдейл П. Ван</t>
        </is>
      </c>
      <c r="H690" s="1" t="inlineStr">
        <is>
          <t>84х108/32</t>
        </is>
      </c>
      <c r="I690" s="1" t="n">
        <v>800</v>
      </c>
      <c r="J690" s="1" t="inlineStr">
        <is>
          <t>РИПОЛ Классик</t>
        </is>
      </c>
      <c r="M690" s="1" t="inlineStr">
        <is>
          <t>2023</t>
        </is>
      </c>
      <c r="N690" s="1" t="inlineStr">
        <is>
          <t>П</t>
        </is>
      </c>
      <c r="O690" s="9" t="n"/>
      <c r="P690" s="1">
        <f>ROUNDUP(2340*(1-$F$3),2)</f>
        <v/>
      </c>
      <c r="Q690" s="1" t="inlineStr">
        <is>
          <t> </t>
        </is>
      </c>
      <c r="R690" s="1" t="inlineStr">
        <is>
          <t>978-5-521-16975-7</t>
        </is>
      </c>
      <c r="S690" s="1" t="inlineStr">
        <is>
          <t>9785521169757</t>
        </is>
      </c>
      <c r="T690" s="9" t="n">
        <v>10</v>
      </c>
      <c r="U690" s="1">
        <f>ROUNDUP(2127.27*(1-$F$3),2)</f>
        <v/>
      </c>
      <c r="V690" s="1" t="n">
        <v>962</v>
      </c>
      <c r="Y690" s="1" t="inlineStr">
        <is>
          <t>Антология ужаса. Вып. 1 (комплект из 3-х книг)</t>
        </is>
      </c>
      <c r="Z690" s="1" t="inlineStr">
        <is>
          <t>16+</t>
        </is>
      </c>
      <c r="AA690" s="12" t="n">
        <v>44655</v>
      </c>
      <c r="AB690" s="1" t="inlineStr">
        <is>
          <t>Художественная литература</t>
        </is>
      </c>
      <c r="AC690" s="1" t="inlineStr">
        <is>
          <t>Фантастика. Мистика. Ужасы</t>
        </is>
      </c>
      <c r="AD690" s="1" t="inlineStr">
        <is>
          <t>Мистика. Ужасы</t>
        </is>
      </c>
      <c r="AE690" s="1" t="inlineStr">
        <is>
          <t>офсетная</t>
        </is>
      </c>
      <c r="AG690" s="1" t="n">
        <v>10411700</v>
      </c>
      <c r="AI690" s="1" t="inlineStr">
        <is>
          <t>4901990000</t>
        </is>
      </c>
    </row>
    <row r="691" customFormat="1" s="1">
      <c r="C691" s="1" t="inlineStr">
        <is>
          <t>10411710</t>
        </is>
      </c>
      <c r="D691" s="1" t="inlineStr">
        <is>
          <t>Комплекты</t>
        </is>
      </c>
      <c r="E691" s="1" t="inlineStr">
        <is>
          <t>Антология ужаса. Вып. 2 (комплект из 3-х книг). Стокер Б., Соловьев В.С., Марш Р.</t>
        </is>
      </c>
      <c r="F691" s="13" t="inlineStr">
        <is>
          <t>См.обл.</t>
        </is>
      </c>
      <c r="G691" s="1" t="inlineStr">
        <is>
          <t>Стокер Б., Соловьев В.С., Марш Р.</t>
        </is>
      </c>
      <c r="H691" s="1" t="inlineStr">
        <is>
          <t>60х90/16</t>
        </is>
      </c>
      <c r="I691" s="1" t="n">
        <v>1304</v>
      </c>
      <c r="J691" s="1" t="inlineStr">
        <is>
          <t>РИПОЛ Классик</t>
        </is>
      </c>
      <c r="M691" s="1" t="inlineStr">
        <is>
          <t>2021</t>
        </is>
      </c>
      <c r="N691" s="1" t="inlineStr">
        <is>
          <t>П</t>
        </is>
      </c>
      <c r="O691" s="9" t="n"/>
      <c r="P691" s="1">
        <f>ROUNDUP(2340*(1-$F$3),2)</f>
        <v/>
      </c>
      <c r="Q691" s="1" t="inlineStr">
        <is>
          <t> </t>
        </is>
      </c>
      <c r="R691" s="1" t="inlineStr">
        <is>
          <t>978-5-521-16976-4</t>
        </is>
      </c>
      <c r="S691" s="1" t="inlineStr">
        <is>
          <t>9785521169764</t>
        </is>
      </c>
      <c r="T691" s="9" t="n">
        <v>10</v>
      </c>
      <c r="U691" s="1">
        <f>ROUNDUP(2127.27*(1-$F$3),2)</f>
        <v/>
      </c>
      <c r="V691" s="1" t="n">
        <v>1385</v>
      </c>
      <c r="Y691" s="1" t="inlineStr">
        <is>
          <t>Антология ужаса. Вып. 2 (комплект из 3-х книг)</t>
        </is>
      </c>
      <c r="Z691" s="1" t="inlineStr">
        <is>
          <t>16+</t>
        </is>
      </c>
      <c r="AA691" s="12" t="n">
        <v>44655</v>
      </c>
      <c r="AB691" s="1" t="inlineStr">
        <is>
          <t>Художественная литература</t>
        </is>
      </c>
      <c r="AC691" s="1" t="inlineStr">
        <is>
          <t>Фантастика. Мистика. Ужасы</t>
        </is>
      </c>
      <c r="AD691" s="1" t="inlineStr">
        <is>
          <t>Мистика. Ужасы</t>
        </is>
      </c>
      <c r="AE691" s="1" t="inlineStr">
        <is>
          <t>офсетная</t>
        </is>
      </c>
      <c r="AG691" s="1" t="n">
        <v>10411710</v>
      </c>
      <c r="AI691" s="1" t="inlineStr">
        <is>
          <t>4901990000</t>
        </is>
      </c>
    </row>
    <row r="692" customFormat="1" s="1">
      <c r="C692" s="1" t="inlineStr">
        <is>
          <t>10413140</t>
        </is>
      </c>
      <c r="D692" s="1" t="inlineStr">
        <is>
          <t>Комплекты</t>
        </is>
      </c>
      <c r="E692" s="1" t="inlineStr">
        <is>
          <t>Антология фантастики. Лучшее. Вып. 1 (комплект из 3-х книг). Моррис У., Стэплдон О</t>
        </is>
      </c>
      <c r="F692" s="13" t="inlineStr">
        <is>
          <t>См.обл.</t>
        </is>
      </c>
      <c r="G692" s="1" t="inlineStr">
        <is>
          <t>Моррис У., Стэплдон О</t>
        </is>
      </c>
      <c r="H692" s="1" t="inlineStr">
        <is>
          <t>84х108/32</t>
        </is>
      </c>
      <c r="I692" s="1" t="n">
        <v>864</v>
      </c>
      <c r="J692" s="1" t="inlineStr">
        <is>
          <t>РИПОЛ Классик</t>
        </is>
      </c>
      <c r="M692" s="1" t="inlineStr">
        <is>
          <t>2021</t>
        </is>
      </c>
      <c r="N692" s="1" t="inlineStr">
        <is>
          <t>П</t>
        </is>
      </c>
      <c r="O692" s="9" t="n"/>
      <c r="P692" s="1">
        <f>ROUNDUP(2716.6*(1-$F$3),2)</f>
        <v/>
      </c>
      <c r="Q692" s="1" t="inlineStr">
        <is>
          <t> </t>
        </is>
      </c>
      <c r="R692" s="1" t="inlineStr">
        <is>
          <t>978-5-521-16986-3</t>
        </is>
      </c>
      <c r="S692" s="1" t="inlineStr">
        <is>
          <t>9785521169863</t>
        </is>
      </c>
      <c r="T692" s="9" t="n">
        <v>10</v>
      </c>
      <c r="U692" s="1">
        <f>ROUNDUP(2469.64*(1-$F$3),2)</f>
        <v/>
      </c>
      <c r="V692" s="1" t="n">
        <v>994</v>
      </c>
      <c r="Y692" s="1" t="inlineStr">
        <is>
          <t>Антология фантастики. Лучшее. Вып. 1 (комплект из 3-х книг)</t>
        </is>
      </c>
      <c r="Z692" s="1" t="inlineStr">
        <is>
          <t>16+</t>
        </is>
      </c>
      <c r="AA692" s="12" t="n">
        <v>44655</v>
      </c>
      <c r="AB692" s="1" t="inlineStr">
        <is>
          <t>Художественная литература</t>
        </is>
      </c>
      <c r="AC692" s="1" t="inlineStr">
        <is>
          <t>Фантастика. Мистика. Ужасы</t>
        </is>
      </c>
      <c r="AD692" s="1" t="inlineStr">
        <is>
          <t>Зарубежная фантастика</t>
        </is>
      </c>
      <c r="AE692" s="1" t="inlineStr">
        <is>
          <t>офсетная</t>
        </is>
      </c>
      <c r="AG692" s="1" t="n">
        <v>10413140</v>
      </c>
      <c r="AI692" s="1" t="inlineStr">
        <is>
          <t>4901990000</t>
        </is>
      </c>
      <c r="AJ692" s="1" t="inlineStr">
        <is>
          <t>Зпв</t>
        </is>
      </c>
    </row>
    <row r="693" customFormat="1" s="1">
      <c r="C693" s="1" t="inlineStr">
        <is>
          <t>11498550</t>
        </is>
      </c>
      <c r="D693" s="1" t="inlineStr">
        <is>
          <t>Комплекты</t>
        </is>
      </c>
      <c r="E693" s="1" t="inlineStr">
        <is>
          <t>Воспоминания о будущем; Лестница в небо; Черный лебедь мирового кризиса (комплект из 3-х книг). Хазин М.Л., Щеглов С.И.</t>
        </is>
      </c>
      <c r="F693" s="13" t="inlineStr">
        <is>
          <t>См.обл.</t>
        </is>
      </c>
      <c r="G693" s="1" t="inlineStr">
        <is>
          <t>Хазин М.Л., Щеглов С.И.</t>
        </is>
      </c>
      <c r="H693" s="1" t="inlineStr">
        <is>
          <t>60х90/16</t>
        </is>
      </c>
      <c r="I693" s="1" t="n">
        <v>1504</v>
      </c>
      <c r="J693" s="1" t="inlineStr">
        <is>
          <t>РИПОЛ Классик</t>
        </is>
      </c>
      <c r="M693" s="1" t="inlineStr">
        <is>
          <t>2026</t>
        </is>
      </c>
      <c r="N693" s="1" t="inlineStr">
        <is>
          <t>П</t>
        </is>
      </c>
      <c r="O693" s="9" t="n"/>
      <c r="P693" s="1">
        <f>ROUNDUP(3920*(1-$F$3),2)</f>
        <v/>
      </c>
      <c r="Q693" s="1" t="inlineStr">
        <is>
          <t> </t>
        </is>
      </c>
      <c r="R693" s="1" t="inlineStr">
        <is>
          <t>978-5-521-83835-6</t>
        </is>
      </c>
      <c r="S693" s="1" t="inlineStr">
        <is>
          <t>9785521838356</t>
        </is>
      </c>
      <c r="T693" s="9" t="n">
        <v>10</v>
      </c>
      <c r="U693" s="1">
        <f>ROUNDUP(3563.64*(1-$F$3),2)</f>
        <v/>
      </c>
      <c r="V693" s="1" t="n">
        <v>1621</v>
      </c>
      <c r="Y693" s="1" t="inlineStr">
        <is>
          <t>Воспоминания о будущем; Лестница в небо; Черный лебедь мирового кризиса (комплект из 3-х книг)</t>
        </is>
      </c>
      <c r="Z693" s="1" t="inlineStr">
        <is>
          <t>12+</t>
        </is>
      </c>
      <c r="AA693" s="12" t="n">
        <v>45562</v>
      </c>
      <c r="AB693" s="1" t="inlineStr">
        <is>
          <t>Общественные науки</t>
        </is>
      </c>
      <c r="AC693" s="1" t="inlineStr">
        <is>
          <t>Политика</t>
        </is>
      </c>
      <c r="AD693" s="1" t="inlineStr">
        <is>
          <t>Государственное управление. Власть</t>
        </is>
      </c>
      <c r="AE693" s="1" t="inlineStr">
        <is>
          <t>офсетная</t>
        </is>
      </c>
      <c r="AG693" s="1" t="n">
        <v>11498550</v>
      </c>
      <c r="AI693" s="1" t="inlineStr">
        <is>
          <t>4901990000</t>
        </is>
      </c>
    </row>
    <row r="694" customFormat="1" s="1">
      <c r="C694" s="1" t="inlineStr">
        <is>
          <t>10411720</t>
        </is>
      </c>
      <c r="D694" s="1" t="inlineStr">
        <is>
          <t>Комплекты</t>
        </is>
      </c>
      <c r="E694" s="1" t="inlineStr">
        <is>
          <t>Все про любовь. Вып. 1 (комплект из 3-х книг). Вассму Х., Уикс С., Кунер Д.</t>
        </is>
      </c>
      <c r="F694" s="13" t="inlineStr">
        <is>
          <t>См.обл.</t>
        </is>
      </c>
      <c r="G694" s="1" t="inlineStr">
        <is>
          <t>Вассму Х., Уикс С., Кунер Д.</t>
        </is>
      </c>
      <c r="H694" s="1" t="inlineStr">
        <is>
          <t>60х90/16</t>
        </is>
      </c>
      <c r="I694" s="1" t="n">
        <v>943</v>
      </c>
      <c r="J694" s="1" t="inlineStr">
        <is>
          <t>РИПОЛ Классик</t>
        </is>
      </c>
      <c r="M694" s="1" t="inlineStr">
        <is>
          <t>2022</t>
        </is>
      </c>
      <c r="N694" s="1" t="inlineStr">
        <is>
          <t>П</t>
        </is>
      </c>
      <c r="O694" s="9" t="n"/>
      <c r="P694" s="1">
        <f>ROUNDUP(1390*(1-$F$3),2)</f>
        <v/>
      </c>
      <c r="Q694" s="1" t="inlineStr">
        <is>
          <t> </t>
        </is>
      </c>
      <c r="R694" s="1" t="inlineStr">
        <is>
          <t>978-5-521-16977-1</t>
        </is>
      </c>
      <c r="S694" s="1" t="inlineStr">
        <is>
          <t>9785521169771</t>
        </is>
      </c>
      <c r="T694" s="9" t="n">
        <v>10</v>
      </c>
      <c r="U694" s="1">
        <f>ROUNDUP(1263.64*(1-$F$3),2)</f>
        <v/>
      </c>
      <c r="V694" s="1" t="n">
        <v>1171</v>
      </c>
      <c r="Y694" s="1" t="inlineStr">
        <is>
          <t>Все про любовь. Вып. 1 (комплект из 3-х книг)</t>
        </is>
      </c>
      <c r="Z694" s="1" t="inlineStr">
        <is>
          <t>16+</t>
        </is>
      </c>
      <c r="AA694" s="12" t="n">
        <v>44655</v>
      </c>
      <c r="AB694" s="1" t="inlineStr">
        <is>
          <t>Художественная литература</t>
        </is>
      </c>
      <c r="AC694" s="1" t="inlineStr">
        <is>
          <t>Сентиментальная проза</t>
        </is>
      </c>
      <c r="AD694" s="1" t="inlineStr">
        <is>
          <t>Зарубежный сентиментальный роман</t>
        </is>
      </c>
      <c r="AE694" s="1" t="inlineStr">
        <is>
          <t>офсетная</t>
        </is>
      </c>
      <c r="AG694" s="1" t="n">
        <v>10411720</v>
      </c>
      <c r="AI694" s="1" t="inlineStr">
        <is>
          <t>4901990000</t>
        </is>
      </c>
    </row>
    <row r="695" customFormat="1" s="1">
      <c r="C695" s="1" t="inlineStr">
        <is>
          <t>10411860</t>
        </is>
      </c>
      <c r="D695" s="1" t="inlineStr">
        <is>
          <t>Комплекты</t>
        </is>
      </c>
      <c r="E695" s="1" t="inlineStr">
        <is>
          <t>Все про любовь. Вып. 2 (комплект из 3-х книг). Харрисон Л., Джонсон М., Кунер Д.</t>
        </is>
      </c>
      <c r="F695" s="13" t="inlineStr">
        <is>
          <t>См.обл.</t>
        </is>
      </c>
      <c r="G695" s="1" t="inlineStr">
        <is>
          <t>Харрисон Л., Джонсон М., Кунер Д.</t>
        </is>
      </c>
      <c r="H695" s="1" t="inlineStr">
        <is>
          <t>60х90/16</t>
        </is>
      </c>
      <c r="I695" s="1" t="n">
        <v>878</v>
      </c>
      <c r="J695" s="1" t="inlineStr">
        <is>
          <t>РИПОЛ Классик</t>
        </is>
      </c>
      <c r="M695" s="1" t="inlineStr">
        <is>
          <t>2021</t>
        </is>
      </c>
      <c r="N695" s="1" t="inlineStr">
        <is>
          <t>П</t>
        </is>
      </c>
      <c r="O695" s="9" t="n"/>
      <c r="P695" s="1">
        <f>ROUNDUP(1296.9*(1-$F$3),2)</f>
        <v/>
      </c>
      <c r="Q695" s="1" t="inlineStr">
        <is>
          <t> </t>
        </is>
      </c>
      <c r="R695" s="1" t="inlineStr">
        <is>
          <t>978-5-521-16978-8</t>
        </is>
      </c>
      <c r="S695" s="1" t="inlineStr">
        <is>
          <t>9785521169788</t>
        </is>
      </c>
      <c r="T695" s="9" t="n">
        <v>10</v>
      </c>
      <c r="U695" s="1">
        <f>ROUNDUP(1179*(1-$F$3),2)</f>
        <v/>
      </c>
      <c r="V695" s="1" t="n">
        <v>1148</v>
      </c>
      <c r="Y695" s="1" t="inlineStr">
        <is>
          <t>Все про любовь. Вып. 2 (комплект из 3-х книг)</t>
        </is>
      </c>
      <c r="Z695" s="1" t="inlineStr">
        <is>
          <t>18+</t>
        </is>
      </c>
      <c r="AA695" s="12" t="n">
        <v>44655</v>
      </c>
      <c r="AB695" s="1" t="inlineStr">
        <is>
          <t>Художественная литература</t>
        </is>
      </c>
      <c r="AC695" s="1" t="inlineStr">
        <is>
          <t>Сентиментальная проза</t>
        </is>
      </c>
      <c r="AD695" s="1" t="inlineStr">
        <is>
          <t>Зарубежный сентиментальный роман</t>
        </is>
      </c>
      <c r="AE695" s="1" t="inlineStr">
        <is>
          <t>офсетная</t>
        </is>
      </c>
      <c r="AG695" s="1" t="n">
        <v>10411860</v>
      </c>
      <c r="AI695" s="1" t="inlineStr">
        <is>
          <t>4901990000</t>
        </is>
      </c>
    </row>
    <row r="696" customFormat="1" s="1">
      <c r="C696" s="1" t="inlineStr">
        <is>
          <t>11577850</t>
        </is>
      </c>
      <c r="D696" s="1" t="inlineStr">
        <is>
          <t>Комплекты</t>
        </is>
      </c>
      <c r="E696" s="1" t="inlineStr">
        <is>
          <t>Двенадцать стульев  и  Золотой теленок (комплект из 2-х книг). Ильф И.А., Петров Е.П</t>
        </is>
      </c>
      <c r="F696" s="13" t="inlineStr">
        <is>
          <t>См.обл.</t>
        </is>
      </c>
      <c r="G696" s="1" t="inlineStr">
        <is>
          <t>Ильф И.А., Петров Е.П</t>
        </is>
      </c>
      <c r="H696" s="1" t="inlineStr">
        <is>
          <t>70х100/16</t>
        </is>
      </c>
      <c r="I696" s="1" t="n">
        <v>848</v>
      </c>
      <c r="J696" s="1" t="inlineStr">
        <is>
          <t>РИПОЛ Классик</t>
        </is>
      </c>
      <c r="M696" s="1" t="inlineStr">
        <is>
          <t>2025</t>
        </is>
      </c>
      <c r="N696" s="1" t="inlineStr">
        <is>
          <t>П</t>
        </is>
      </c>
      <c r="O696" s="9" t="n"/>
      <c r="P696" s="1">
        <f>ROUNDUP(4850*(1-$F$3),2)</f>
        <v/>
      </c>
      <c r="Q696" s="1" t="inlineStr">
        <is>
          <t> </t>
        </is>
      </c>
      <c r="R696" s="1" t="inlineStr">
        <is>
          <t>978-5-386-15358-8</t>
        </is>
      </c>
      <c r="S696" s="1" t="inlineStr">
        <is>
          <t>9785386153588</t>
        </is>
      </c>
      <c r="T696" s="9" t="n">
        <v>10</v>
      </c>
      <c r="U696" s="1">
        <f>ROUNDUP(4409.09*(1-$F$3),2)</f>
        <v/>
      </c>
      <c r="V696" s="1" t="n">
        <v>2097</v>
      </c>
      <c r="Y696" s="1" t="inlineStr">
        <is>
          <t>Двенадцать стульев  и  Золотой теленок (комплект из 2-х книг)</t>
        </is>
      </c>
      <c r="Z696" s="1" t="inlineStr">
        <is>
          <t>12+</t>
        </is>
      </c>
      <c r="AA696" s="12" t="n">
        <v>45624</v>
      </c>
      <c r="AB696" s="1" t="inlineStr">
        <is>
          <t>Художественная литература</t>
        </is>
      </c>
      <c r="AC696" s="1" t="inlineStr">
        <is>
          <t>Русская литература</t>
        </is>
      </c>
      <c r="AD696" s="1" t="inlineStr">
        <is>
          <t>Русская литература советского периода (1917-1991 гг.)</t>
        </is>
      </c>
      <c r="AE696" s="1" t="inlineStr">
        <is>
          <t>офсетная</t>
        </is>
      </c>
      <c r="AG696" s="1" t="n">
        <v>11577850</v>
      </c>
      <c r="AI696" s="1" t="inlineStr">
        <is>
          <t>4901990000</t>
        </is>
      </c>
    </row>
    <row r="697" customFormat="1" s="1">
      <c r="C697" s="1" t="inlineStr">
        <is>
          <t>9687620</t>
        </is>
      </c>
      <c r="D697" s="1" t="inlineStr">
        <is>
          <t>Комплекты</t>
        </is>
      </c>
      <c r="E697" s="1" t="inlineStr">
        <is>
          <t>Дикая жизнь. Путешествия и открытия (комплект из 3-х книг). Расмуссен К., Колотов К., Мур Р.</t>
        </is>
      </c>
      <c r="F697" s="13" t="inlineStr">
        <is>
          <t>См.обл.</t>
        </is>
      </c>
      <c r="G697" s="1" t="inlineStr">
        <is>
          <t>Расмуссен К., Колотов К., Мур Р.</t>
        </is>
      </c>
      <c r="H697" s="1" t="inlineStr">
        <is>
          <t>60х90/16</t>
        </is>
      </c>
      <c r="I697" s="1" t="n">
        <v>1247</v>
      </c>
      <c r="J697" s="1" t="inlineStr">
        <is>
          <t>РИПОЛ Классик</t>
        </is>
      </c>
      <c r="M697" s="1" t="inlineStr">
        <is>
          <t>2021</t>
        </is>
      </c>
      <c r="N697" s="1" t="inlineStr">
        <is>
          <t>П</t>
        </is>
      </c>
      <c r="O697" s="9" t="n"/>
      <c r="P697" s="1">
        <f>ROUNDUP(1890*(1-$F$3),2)</f>
        <v/>
      </c>
      <c r="Q697" s="1" t="inlineStr">
        <is>
          <t> </t>
        </is>
      </c>
      <c r="R697" s="1" t="inlineStr">
        <is>
          <t>978-5-386-14262-9</t>
        </is>
      </c>
      <c r="S697" s="1" t="inlineStr">
        <is>
          <t>9785386142629</t>
        </is>
      </c>
      <c r="T697" s="9" t="n">
        <v>10</v>
      </c>
      <c r="U697" s="1">
        <f>ROUNDUP(1718.18*(1-$F$3),2)</f>
        <v/>
      </c>
      <c r="V697" s="1" t="n">
        <v>1361</v>
      </c>
      <c r="Y697" s="1" t="inlineStr">
        <is>
          <t>Дикая жизнь. Путешествия и открытия (комплект из 3-х книг)</t>
        </is>
      </c>
      <c r="Z697" s="1" t="inlineStr">
        <is>
          <t>16+</t>
        </is>
      </c>
      <c r="AA697" s="12" t="n">
        <v>44288</v>
      </c>
      <c r="AB697" s="1" t="inlineStr">
        <is>
          <t>Художественно-документальная проза</t>
        </is>
      </c>
      <c r="AC697" s="1" t="inlineStr">
        <is>
          <t>Публицистика</t>
        </is>
      </c>
      <c r="AD697" s="1" t="inlineStr">
        <is>
          <t>Рассказы путешественников и натуралистов</t>
        </is>
      </c>
      <c r="AE697" s="1" t="inlineStr">
        <is>
          <t>офсетная</t>
        </is>
      </c>
      <c r="AG697" s="1" t="n">
        <v>9687620</v>
      </c>
      <c r="AI697" s="1" t="inlineStr">
        <is>
          <t>4901990000</t>
        </is>
      </c>
    </row>
    <row r="698" customFormat="1" s="1">
      <c r="C698" s="1" t="inlineStr">
        <is>
          <t>9745000</t>
        </is>
      </c>
      <c r="D698" s="1" t="inlineStr">
        <is>
          <t>Комплекты</t>
        </is>
      </c>
      <c r="E698" s="1" t="inlineStr">
        <is>
          <t>Жизнь великих в биографиях (комплект из 3-х книг). Анненская А.Н., Орлов Е.Н., Брилиант С.М.</t>
        </is>
      </c>
      <c r="F698" s="13" t="inlineStr">
        <is>
          <t>См.обл.</t>
        </is>
      </c>
      <c r="G698" s="1" t="inlineStr">
        <is>
          <t>Анненская А.Н., Орлов Е.Н., Брилиант С.М.</t>
        </is>
      </c>
      <c r="H698" s="1" t="inlineStr">
        <is>
          <t>84х108/32</t>
        </is>
      </c>
      <c r="I698" s="1" t="n">
        <v>736</v>
      </c>
      <c r="J698" s="1" t="inlineStr">
        <is>
          <t>РИПОЛ Классик</t>
        </is>
      </c>
      <c r="M698" s="1" t="inlineStr">
        <is>
          <t>2021</t>
        </is>
      </c>
      <c r="N698" s="1" t="inlineStr">
        <is>
          <t>П</t>
        </is>
      </c>
      <c r="O698" s="9" t="n"/>
      <c r="P698" s="1">
        <f>ROUNDUP(1770*(1-$F$3),2)</f>
        <v/>
      </c>
      <c r="Q698" s="1" t="inlineStr">
        <is>
          <t> </t>
        </is>
      </c>
      <c r="R698" s="1" t="inlineStr">
        <is>
          <t>978-5-386-14397-8</t>
        </is>
      </c>
      <c r="S698" s="1" t="inlineStr">
        <is>
          <t>9785386143978</t>
        </is>
      </c>
      <c r="T698" s="9" t="n">
        <v>10</v>
      </c>
      <c r="U698" s="1">
        <f>ROUNDUP(1609.09*(1-$F$3),2)</f>
        <v/>
      </c>
      <c r="V698" s="1" t="n">
        <v>901</v>
      </c>
      <c r="Y698" s="1" t="inlineStr">
        <is>
          <t>Жизнь великих в биографиях (комплект из 3-х книг)</t>
        </is>
      </c>
      <c r="Z698" s="1" t="inlineStr">
        <is>
          <t>12+</t>
        </is>
      </c>
      <c r="AA698" s="12" t="n">
        <v>44358</v>
      </c>
      <c r="AB698" s="1" t="inlineStr">
        <is>
          <t>Художественно-документальная проза</t>
        </is>
      </c>
      <c r="AC698" s="1" t="inlineStr">
        <is>
          <t>Биографии. Мемуары</t>
        </is>
      </c>
      <c r="AD698" s="1" t="inlineStr">
        <is>
          <t>Биографии общественных и исторических деятелей</t>
        </is>
      </c>
      <c r="AE698" s="1" t="inlineStr">
        <is>
          <t>офсетная</t>
        </is>
      </c>
      <c r="AG698" s="1" t="n">
        <v>9745000</v>
      </c>
      <c r="AI698" s="1" t="inlineStr">
        <is>
          <t>4901990000</t>
        </is>
      </c>
    </row>
    <row r="699" customFormat="1" s="1">
      <c r="C699" s="1" t="inlineStr">
        <is>
          <t>9744980</t>
        </is>
      </c>
      <c r="D699" s="1" t="inlineStr">
        <is>
          <t>Комплекты</t>
        </is>
      </c>
      <c r="E699" s="1" t="inlineStr">
        <is>
          <t>Жизнь великих. Гении мысли  (комплект из 3-х книг). Ранцов В.Л., Брилиант С.М., Сементковский Р.И.</t>
        </is>
      </c>
      <c r="F699" s="13" t="inlineStr">
        <is>
          <t>См.обл.</t>
        </is>
      </c>
      <c r="G699" s="1" t="inlineStr">
        <is>
          <t>Ранцов В.Л., Брилиант С.М., Сементковский Р.И.</t>
        </is>
      </c>
      <c r="H699" s="1" t="inlineStr">
        <is>
          <t>84х108/32</t>
        </is>
      </c>
      <c r="I699" s="1" t="n">
        <v>816</v>
      </c>
      <c r="J699" s="1" t="inlineStr">
        <is>
          <t>РИПОЛ Классик</t>
        </is>
      </c>
      <c r="M699" s="1" t="inlineStr">
        <is>
          <t>2021</t>
        </is>
      </c>
      <c r="N699" s="1" t="inlineStr">
        <is>
          <t>П</t>
        </is>
      </c>
      <c r="O699" s="9" t="n"/>
      <c r="P699" s="1">
        <f>ROUNDUP(1890*(1-$F$3),2)</f>
        <v/>
      </c>
      <c r="Q699" s="1" t="inlineStr">
        <is>
          <t> </t>
        </is>
      </c>
      <c r="R699" s="1" t="inlineStr">
        <is>
          <t>978-5-386-14393-0</t>
        </is>
      </c>
      <c r="S699" s="1" t="inlineStr">
        <is>
          <t>9785386143930</t>
        </is>
      </c>
      <c r="T699" s="9" t="n">
        <v>10</v>
      </c>
      <c r="U699" s="1">
        <f>ROUNDUP(1718.18*(1-$F$3),2)</f>
        <v/>
      </c>
      <c r="V699" s="1" t="n">
        <v>961</v>
      </c>
      <c r="Y699" s="1" t="inlineStr">
        <is>
          <t>Жизнь великих. Гении мысли  (комплект из 3-х книг)</t>
        </is>
      </c>
      <c r="Z699" s="1" t="inlineStr">
        <is>
          <t>12+</t>
        </is>
      </c>
      <c r="AA699" s="12" t="n">
        <v>44358</v>
      </c>
      <c r="AB699" s="1" t="inlineStr">
        <is>
          <t>Художественно-документальная проза</t>
        </is>
      </c>
      <c r="AC699" s="1" t="inlineStr">
        <is>
          <t>Биографии. Мемуары</t>
        </is>
      </c>
      <c r="AD699" s="1" t="inlineStr">
        <is>
          <t>Биографии общественных и исторических деятелей</t>
        </is>
      </c>
      <c r="AE699" s="1" t="inlineStr">
        <is>
          <t>офсетная</t>
        </is>
      </c>
      <c r="AG699" s="1" t="n">
        <v>9744980</v>
      </c>
      <c r="AI699" s="1" t="inlineStr">
        <is>
          <t>4901990000</t>
        </is>
      </c>
    </row>
    <row r="700" customFormat="1" s="1">
      <c r="C700" s="1" t="inlineStr">
        <is>
          <t>9744970</t>
        </is>
      </c>
      <c r="D700" s="1" t="inlineStr">
        <is>
          <t>Комплекты</t>
        </is>
      </c>
      <c r="E700" s="1" t="inlineStr">
        <is>
          <t>Жизнь великих. Гении эпохи (комплект из 3-х книг). Анненская А.Н., Александров Н.Н.</t>
        </is>
      </c>
      <c r="F700" s="13" t="inlineStr">
        <is>
          <t>См.обл.</t>
        </is>
      </c>
      <c r="G700" s="1" t="inlineStr">
        <is>
          <t>Анненская А.Н., Александров Н.Н.</t>
        </is>
      </c>
      <c r="H700" s="1" t="inlineStr">
        <is>
          <t>84х108/32</t>
        </is>
      </c>
      <c r="I700" s="1" t="n">
        <v>832</v>
      </c>
      <c r="J700" s="1" t="inlineStr">
        <is>
          <t>РИПОЛ Классик</t>
        </is>
      </c>
      <c r="M700" s="1" t="inlineStr">
        <is>
          <t>2021</t>
        </is>
      </c>
      <c r="N700" s="1" t="inlineStr">
        <is>
          <t>П</t>
        </is>
      </c>
      <c r="O700" s="9" t="n"/>
      <c r="P700" s="1">
        <f>ROUNDUP(1770*(1-$F$3),2)</f>
        <v/>
      </c>
      <c r="Q700" s="1" t="inlineStr">
        <is>
          <t> </t>
        </is>
      </c>
      <c r="R700" s="1" t="inlineStr">
        <is>
          <t>978-5-386-14392-3</t>
        </is>
      </c>
      <c r="S700" s="1" t="inlineStr">
        <is>
          <t>9785386143923</t>
        </is>
      </c>
      <c r="T700" s="9" t="n">
        <v>10</v>
      </c>
      <c r="U700" s="1">
        <f>ROUNDUP(1609.09*(1-$F$3),2)</f>
        <v/>
      </c>
      <c r="V700" s="1" t="n">
        <v>979</v>
      </c>
      <c r="Y700" s="1" t="inlineStr">
        <is>
          <t>Жизнь великих. Гении эпохи (комплект из 3-х книг)</t>
        </is>
      </c>
      <c r="Z700" s="1" t="inlineStr">
        <is>
          <t>12+</t>
        </is>
      </c>
      <c r="AA700" s="12" t="n">
        <v>44358</v>
      </c>
      <c r="AB700" s="1" t="inlineStr">
        <is>
          <t>Художественно-документальная проза</t>
        </is>
      </c>
      <c r="AC700" s="1" t="inlineStr">
        <is>
          <t>Биографии. Мемуары</t>
        </is>
      </c>
      <c r="AD700" s="1" t="inlineStr">
        <is>
          <t>Биографии деятелей культуры и искусства</t>
        </is>
      </c>
      <c r="AE700" s="1" t="inlineStr">
        <is>
          <t>офсетная</t>
        </is>
      </c>
      <c r="AG700" s="1" t="n">
        <v>9744970</v>
      </c>
      <c r="AI700" s="1" t="inlineStr">
        <is>
          <t>4901990000</t>
        </is>
      </c>
    </row>
    <row r="701" customFormat="1" s="1">
      <c r="C701" s="1" t="inlineStr">
        <is>
          <t>9796620</t>
        </is>
      </c>
      <c r="D701" s="1" t="inlineStr">
        <is>
          <t>Комплекты</t>
        </is>
      </c>
      <c r="E701" s="1" t="inlineStr">
        <is>
          <t>Жизнь великих. Гении эпохи (комплект из 3-х книг). Анненская А.Н., Александров Н.Н.</t>
        </is>
      </c>
      <c r="F701" s="13" t="inlineStr">
        <is>
          <t>См.обл.</t>
        </is>
      </c>
      <c r="G701" s="1" t="inlineStr">
        <is>
          <t>Анненская А.Н., Александров Н.Н.</t>
        </is>
      </c>
      <c r="H701" s="1" t="inlineStr">
        <is>
          <t>84х108/32</t>
        </is>
      </c>
      <c r="I701" s="1" t="n">
        <v>832</v>
      </c>
      <c r="J701" s="1" t="inlineStr">
        <is>
          <t>РИПОЛ Классик</t>
        </is>
      </c>
      <c r="M701" s="1" t="inlineStr">
        <is>
          <t>2021</t>
        </is>
      </c>
      <c r="N701" s="1" t="inlineStr">
        <is>
          <t>П</t>
        </is>
      </c>
      <c r="O701" s="9" t="n"/>
      <c r="P701" s="1">
        <f>ROUNDUP(1767.6*(1-$F$3),2)</f>
        <v/>
      </c>
      <c r="Q701" s="1" t="inlineStr">
        <is>
          <t> </t>
        </is>
      </c>
      <c r="R701" s="1" t="inlineStr">
        <is>
          <t>978-5-386-14472-2</t>
        </is>
      </c>
      <c r="S701" s="1" t="inlineStr">
        <is>
          <t>9785386144722</t>
        </is>
      </c>
      <c r="T701" s="9" t="n">
        <v>10</v>
      </c>
      <c r="U701" s="1">
        <f>ROUNDUP(1606.91*(1-$F$3),2)</f>
        <v/>
      </c>
      <c r="V701" s="1" t="n">
        <v>978</v>
      </c>
      <c r="Y701" s="1" t="inlineStr">
        <is>
          <t>Жизнь великих. Гении эпохи (комплект из 3-х книг)</t>
        </is>
      </c>
      <c r="Z701" s="1" t="inlineStr">
        <is>
          <t>12+</t>
        </is>
      </c>
      <c r="AA701" s="12" t="n">
        <v>44399</v>
      </c>
      <c r="AB701" s="1" t="inlineStr">
        <is>
          <t>Художественно-документальная проза</t>
        </is>
      </c>
      <c r="AC701" s="1" t="inlineStr">
        <is>
          <t>Биографии. Мемуары</t>
        </is>
      </c>
      <c r="AD701" s="1" t="inlineStr">
        <is>
          <t>Биографии деятелей культуры и искусства</t>
        </is>
      </c>
      <c r="AE701" s="1" t="inlineStr">
        <is>
          <t>офсетная</t>
        </is>
      </c>
      <c r="AG701" s="1" t="n">
        <v>9796620</v>
      </c>
      <c r="AI701" s="1" t="inlineStr">
        <is>
          <t>4901990000</t>
        </is>
      </c>
    </row>
    <row r="702" customFormat="1" s="1">
      <c r="C702" s="1" t="inlineStr">
        <is>
          <t>10440380</t>
        </is>
      </c>
      <c r="D702" s="1" t="inlineStr">
        <is>
          <t>Комплекты</t>
        </is>
      </c>
      <c r="E702" s="1" t="inlineStr">
        <is>
          <t>Исторический бестселлер. Вып. 2 (комплект из 3-х книг). Рейсс Т., Мур Р., Эйнхорн Е.</t>
        </is>
      </c>
      <c r="F702" s="13" t="inlineStr">
        <is>
          <t>См.обл.</t>
        </is>
      </c>
      <c r="G702" s="1" t="inlineStr">
        <is>
          <t>Рейсс Т., Мур Р., Эйнхорн Е.</t>
        </is>
      </c>
      <c r="H702" s="1" t="inlineStr">
        <is>
          <t>60х90/16</t>
        </is>
      </c>
      <c r="I702" s="1" t="n">
        <v>1519</v>
      </c>
      <c r="J702" s="1" t="inlineStr">
        <is>
          <t>РИПОЛ Классик</t>
        </is>
      </c>
      <c r="M702" s="1" t="inlineStr">
        <is>
          <t>2022</t>
        </is>
      </c>
      <c r="N702" s="1" t="inlineStr">
        <is>
          <t>П</t>
        </is>
      </c>
      <c r="O702" s="9" t="n"/>
      <c r="P702" s="1">
        <f>ROUNDUP(2050*(1-$F$3),2)</f>
        <v/>
      </c>
      <c r="Q702" s="1" t="inlineStr">
        <is>
          <t> </t>
        </is>
      </c>
      <c r="R702" s="1" t="inlineStr">
        <is>
          <t>978-5-521-17012-8</t>
        </is>
      </c>
      <c r="S702" s="1" t="inlineStr">
        <is>
          <t>9785521170128</t>
        </is>
      </c>
      <c r="T702" s="9" t="n">
        <v>10</v>
      </c>
      <c r="U702" s="1">
        <f>ROUNDUP(1863.64*(1-$F$3),2)</f>
        <v/>
      </c>
      <c r="V702" s="1" t="n">
        <v>1883</v>
      </c>
      <c r="Y702" s="1" t="inlineStr">
        <is>
          <t>Исторический бестселлер. Вып. 2 (комплект из 3-х книг)</t>
        </is>
      </c>
      <c r="Z702" s="1" t="inlineStr">
        <is>
          <t>18+</t>
        </is>
      </c>
      <c r="AA702" s="12" t="n">
        <v>44670</v>
      </c>
      <c r="AB702" s="1" t="inlineStr">
        <is>
          <t>Художественная литература</t>
        </is>
      </c>
      <c r="AC702" s="1" t="inlineStr">
        <is>
          <t>Зарубежная литература</t>
        </is>
      </c>
      <c r="AD702" s="1" t="inlineStr">
        <is>
          <t>Европейская литература</t>
        </is>
      </c>
      <c r="AE702" s="1" t="inlineStr">
        <is>
          <t>офсетная</t>
        </is>
      </c>
      <c r="AG702" s="1" t="n">
        <v>10440380</v>
      </c>
      <c r="AI702" s="1" t="inlineStr">
        <is>
          <t>4901990000</t>
        </is>
      </c>
      <c r="AJ702" s="1" t="inlineStr">
        <is>
          <t>Зпв</t>
        </is>
      </c>
    </row>
    <row r="703" customFormat="1" s="1">
      <c r="C703" s="1" t="inlineStr">
        <is>
          <t>11498480</t>
        </is>
      </c>
      <c r="D703" s="1" t="inlineStr">
        <is>
          <t>Комплекты</t>
        </is>
      </c>
      <c r="E703" s="1" t="inlineStr">
        <is>
          <t>Как читать людей;  Лестница в небо (комплект из 2-х книг). Хазин М.Л., Щеглов С.И., Мессинжер Ж.</t>
        </is>
      </c>
      <c r="F703" s="13" t="inlineStr">
        <is>
          <t>См.обл.</t>
        </is>
      </c>
      <c r="G703" s="1" t="inlineStr">
        <is>
          <t>Хазин М.Л., Щеглов С.И., Мессинжер Ж.</t>
        </is>
      </c>
      <c r="H703" s="1" t="inlineStr">
        <is>
          <t>60х90/16</t>
        </is>
      </c>
      <c r="I703" s="1" t="n">
        <v>1344</v>
      </c>
      <c r="J703" s="1" t="inlineStr">
        <is>
          <t>РИПОЛ Классик</t>
        </is>
      </c>
      <c r="M703" s="1" t="inlineStr">
        <is>
          <t>2026</t>
        </is>
      </c>
      <c r="N703" s="1" t="inlineStr">
        <is>
          <t>О</t>
        </is>
      </c>
      <c r="O703" s="9" t="n"/>
      <c r="P703" s="1">
        <f>ROUNDUP(1730*(1-$F$3),2)</f>
        <v/>
      </c>
      <c r="Q703" s="1" t="inlineStr">
        <is>
          <t> </t>
        </is>
      </c>
      <c r="R703" s="1" t="inlineStr">
        <is>
          <t>978-5-521-83538-6</t>
        </is>
      </c>
      <c r="S703" s="1" t="inlineStr">
        <is>
          <t>9785521835386</t>
        </is>
      </c>
      <c r="T703" s="9" t="n">
        <v>10</v>
      </c>
      <c r="U703" s="1">
        <f>ROUNDUP(1572.73*(1-$F$3),2)</f>
        <v/>
      </c>
      <c r="V703" s="1" t="n">
        <v>1019</v>
      </c>
      <c r="Y703" s="1" t="inlineStr">
        <is>
          <t>Как читать людей;  Лестница в небо (комплект из 2-х книг)</t>
        </is>
      </c>
      <c r="Z703" s="1" t="inlineStr">
        <is>
          <t>16+</t>
        </is>
      </c>
      <c r="AA703" s="12" t="n">
        <v>45561</v>
      </c>
      <c r="AB703" s="1" t="inlineStr">
        <is>
          <t>Гуманитарные науки</t>
        </is>
      </c>
      <c r="AC703" s="1" t="inlineStr">
        <is>
          <t>Психология</t>
        </is>
      </c>
      <c r="AD703" s="1" t="inlineStr">
        <is>
          <t>Социальная психология. Психология отношений. Коммуникации</t>
        </is>
      </c>
      <c r="AE703" s="1" t="inlineStr">
        <is>
          <t>газетная</t>
        </is>
      </c>
      <c r="AG703" s="1" t="n">
        <v>11498480</v>
      </c>
      <c r="AI703" s="1" t="inlineStr">
        <is>
          <t>4901990000</t>
        </is>
      </c>
    </row>
    <row r="704" customFormat="1" s="1">
      <c r="C704" s="1" t="inlineStr">
        <is>
          <t>11498430</t>
        </is>
      </c>
      <c r="D704" s="1" t="inlineStr">
        <is>
          <t>Комплекты</t>
        </is>
      </c>
      <c r="E704" s="1" t="inlineStr">
        <is>
          <t>Когда дружба провожала меня домой; Храбрая Беатрис и проклятье дрожунов; 101 далматинец; Головоломка; Аттика. (комплект из 5-ти книг). Килворт Г.Д, Смит Д., Гриффин П., Моклер С.</t>
        </is>
      </c>
      <c r="F704" s="13" t="inlineStr">
        <is>
          <t>См.обл.</t>
        </is>
      </c>
      <c r="G704" s="1" t="inlineStr">
        <is>
          <t>Килворт Г.Д, Смит Д., Гриффин П., Моклер С.</t>
        </is>
      </c>
      <c r="H704" s="1" t="inlineStr">
        <is>
          <t>60х90/16</t>
        </is>
      </c>
      <c r="I704" s="1" t="n">
        <v>1648</v>
      </c>
      <c r="J704" s="1" t="inlineStr">
        <is>
          <t>РИПОЛ Классик</t>
        </is>
      </c>
      <c r="M704" s="1" t="inlineStr">
        <is>
          <t>2022</t>
        </is>
      </c>
      <c r="N704" s="1" t="inlineStr">
        <is>
          <t>П</t>
        </is>
      </c>
      <c r="O704" s="9" t="n"/>
      <c r="P704" s="1">
        <f>ROUNDUP(6220*(1-$F$3),2)</f>
        <v/>
      </c>
      <c r="Q704" s="1" t="inlineStr">
        <is>
          <t> </t>
        </is>
      </c>
      <c r="R704" s="1" t="inlineStr">
        <is>
          <t>978-5-521-83946-9</t>
        </is>
      </c>
      <c r="S704" s="1" t="inlineStr">
        <is>
          <t>9785521839469</t>
        </is>
      </c>
      <c r="T704" s="9" t="n">
        <v>10</v>
      </c>
      <c r="U704" s="1">
        <f>ROUNDUP(5654.55*(1-$F$3),2)</f>
        <v/>
      </c>
      <c r="V704" s="1" t="n">
        <v>2334</v>
      </c>
      <c r="Y704" s="1" t="inlineStr">
        <is>
          <t>Когда дружба провожала меня домой; Храбрая Беатрис и проклятье дрожунов; 101 далматинец; Головоломка; Аттика. (комплект из 5-ти книг)</t>
        </is>
      </c>
      <c r="Z704" s="1" t="inlineStr">
        <is>
          <t>12+</t>
        </is>
      </c>
      <c r="AA704" s="12" t="n">
        <v>45561</v>
      </c>
      <c r="AB704" s="1" t="inlineStr">
        <is>
          <t>Детская литература</t>
        </is>
      </c>
      <c r="AC704" s="1" t="inlineStr">
        <is>
          <t>Художественная литература</t>
        </is>
      </c>
      <c r="AD704" s="1" t="inlineStr">
        <is>
          <t>Проза. Драматургия</t>
        </is>
      </c>
      <c r="AE704" s="1" t="inlineStr">
        <is>
          <t>офсетная</t>
        </is>
      </c>
      <c r="AG704" s="1" t="n">
        <v>11498430</v>
      </c>
      <c r="AI704" s="1" t="inlineStr">
        <is>
          <t>4901990000</t>
        </is>
      </c>
    </row>
    <row r="705" customFormat="1" s="1">
      <c r="C705" s="1" t="inlineStr">
        <is>
          <t xml:space="preserve">10832800            </t>
        </is>
      </c>
      <c r="D705" s="1" t="inlineStr">
        <is>
          <t>Комплекты</t>
        </is>
      </c>
      <c r="E705" s="1" t="inlineStr">
        <is>
          <t>Кризис и Власть. Том I и Том II (комплект из 2-х книг). Хазин М.Л., Щеглов С.И.</t>
        </is>
      </c>
      <c r="F705" s="13" t="inlineStr">
        <is>
          <t>См.обл.</t>
        </is>
      </c>
      <c r="G705" s="1" t="inlineStr">
        <is>
          <t>Хазин М.Л., Щеглов С.И.</t>
        </is>
      </c>
      <c r="H705" s="1" t="inlineStr">
        <is>
          <t>70х100/16</t>
        </is>
      </c>
      <c r="I705" s="1" t="n">
        <v>1072</v>
      </c>
      <c r="J705" s="1" t="inlineStr">
        <is>
          <t>РИПОЛ Классик</t>
        </is>
      </c>
      <c r="M705" s="1" t="inlineStr">
        <is>
          <t>2026</t>
        </is>
      </c>
      <c r="N705" s="1" t="inlineStr">
        <is>
          <t>П</t>
        </is>
      </c>
      <c r="O705" s="9" t="n">
        <v>1</v>
      </c>
      <c r="P705" s="1">
        <f>ROUNDUP(3350*(1-$F$3),2)</f>
        <v/>
      </c>
      <c r="Q705" s="1" t="inlineStr">
        <is>
          <t> </t>
        </is>
      </c>
      <c r="R705" s="1" t="inlineStr">
        <is>
          <t>978-5-386-14996-3</t>
        </is>
      </c>
      <c r="S705" s="1" t="inlineStr">
        <is>
          <t>9785386149963</t>
        </is>
      </c>
      <c r="T705" s="9" t="n">
        <v>10</v>
      </c>
      <c r="U705" s="1">
        <f>ROUNDUP(3045.45*(1-$F$3),2)</f>
        <v/>
      </c>
      <c r="V705" s="1" t="n">
        <v>1797</v>
      </c>
      <c r="Y705" s="1" t="inlineStr">
        <is>
          <t>Кризис и Власть. Том I и Том II (комплект из 2-х книг)</t>
        </is>
      </c>
      <c r="Z705" s="1" t="inlineStr">
        <is>
          <t>16+</t>
        </is>
      </c>
      <c r="AA705" s="12" t="n">
        <v>44973</v>
      </c>
      <c r="AB705" s="1" t="inlineStr">
        <is>
          <t>Общественные науки</t>
        </is>
      </c>
      <c r="AC705" s="1" t="inlineStr">
        <is>
          <t>Политика</t>
        </is>
      </c>
      <c r="AD705" s="1" t="inlineStr">
        <is>
          <t>Государственное управление. Власть</t>
        </is>
      </c>
      <c r="AE705" s="1" t="inlineStr">
        <is>
          <t>офсетная</t>
        </is>
      </c>
      <c r="AG705" s="1" t="n">
        <v>10832800</v>
      </c>
      <c r="AI705" s="1" t="inlineStr">
        <is>
          <t>4901990000</t>
        </is>
      </c>
    </row>
    <row r="706" customFormat="1" s="1">
      <c r="C706" s="1" t="inlineStr">
        <is>
          <t>11498460</t>
        </is>
      </c>
      <c r="D706" s="1" t="inlineStr">
        <is>
          <t>Комплекты</t>
        </is>
      </c>
      <c r="E706" s="1" t="inlineStr">
        <is>
          <t>Лестница в небо; 48 законов власти (комплект из 2-х книг). Грин Р., Хазин М.Л., Щеглов С.И.</t>
        </is>
      </c>
      <c r="F706" s="13" t="inlineStr">
        <is>
          <t>См.обл.</t>
        </is>
      </c>
      <c r="G706" s="1" t="inlineStr">
        <is>
          <t>Грин Р., Хазин М.Л., Щеглов С.И.</t>
        </is>
      </c>
      <c r="H706" s="1" t="inlineStr">
        <is>
          <t>70х100/16</t>
        </is>
      </c>
      <c r="I706" s="1" t="n">
        <v>1392</v>
      </c>
      <c r="J706" s="1" t="inlineStr">
        <is>
          <t>РИПОЛ Классик</t>
        </is>
      </c>
      <c r="M706" s="1" t="inlineStr">
        <is>
          <t>2026</t>
        </is>
      </c>
      <c r="N706" s="1" t="inlineStr">
        <is>
          <t>П</t>
        </is>
      </c>
      <c r="O706" s="9" t="n"/>
      <c r="P706" s="1">
        <f>ROUNDUP(2770*(1-$F$3),2)</f>
        <v/>
      </c>
      <c r="Q706" s="1" t="inlineStr">
        <is>
          <t> </t>
        </is>
      </c>
      <c r="R706" s="1" t="inlineStr">
        <is>
          <t>978-5-521-83880-6</t>
        </is>
      </c>
      <c r="S706" s="1" t="inlineStr">
        <is>
          <t>9785521838806</t>
        </is>
      </c>
      <c r="T706" s="9" t="n">
        <v>10</v>
      </c>
      <c r="U706" s="1">
        <f>ROUNDUP(2518.18*(1-$F$3),2)</f>
        <v/>
      </c>
      <c r="V706" s="1" t="n">
        <v>1461</v>
      </c>
      <c r="Y706" s="1" t="inlineStr">
        <is>
          <t>Лестница в небо; 48 законов власти (комплект из 2-х книг)</t>
        </is>
      </c>
      <c r="Z706" s="1" t="inlineStr">
        <is>
          <t>16+</t>
        </is>
      </c>
      <c r="AA706" s="12" t="n">
        <v>45561</v>
      </c>
      <c r="AB706" s="1" t="inlineStr">
        <is>
          <t>Общественные науки</t>
        </is>
      </c>
      <c r="AC706" s="1" t="inlineStr">
        <is>
          <t>Политика</t>
        </is>
      </c>
      <c r="AD706" s="1" t="inlineStr">
        <is>
          <t>Государственное управление. Власть</t>
        </is>
      </c>
      <c r="AE706" s="1" t="inlineStr">
        <is>
          <t>офсетная</t>
        </is>
      </c>
      <c r="AG706" s="1" t="n">
        <v>11498460</v>
      </c>
      <c r="AI706" s="1" t="inlineStr">
        <is>
          <t>4901990000</t>
        </is>
      </c>
    </row>
    <row r="707" customFormat="1" s="1">
      <c r="C707" s="1" t="inlineStr">
        <is>
          <t>10413230</t>
        </is>
      </c>
      <c r="D707" s="1" t="inlineStr">
        <is>
          <t>Комплекты</t>
        </is>
      </c>
      <c r="E707" s="1" t="inlineStr">
        <is>
          <t>Лучшие книги для малышей. Учимся с Джоуи (комплект из 5-ти книг). Хунбо Г.</t>
        </is>
      </c>
      <c r="F707" s="13" t="inlineStr">
        <is>
          <t>См.обл.</t>
        </is>
      </c>
      <c r="G707" s="1" t="inlineStr">
        <is>
          <t>Хунбо Г.</t>
        </is>
      </c>
      <c r="H707" s="1" t="inlineStr">
        <is>
          <t>60х90/8</t>
        </is>
      </c>
      <c r="I707" s="1" t="n">
        <v>160</v>
      </c>
      <c r="J707" s="1" t="inlineStr">
        <is>
          <t>РИПОЛ Классик</t>
        </is>
      </c>
      <c r="M707" s="1" t="inlineStr">
        <is>
          <t>2022</t>
        </is>
      </c>
      <c r="N707" s="1" t="inlineStr">
        <is>
          <t>П</t>
        </is>
      </c>
      <c r="O707" s="9" t="n"/>
      <c r="P707" s="1">
        <f>ROUNDUP(3690*(1-$F$3),2)</f>
        <v/>
      </c>
      <c r="Q707" s="1" t="inlineStr">
        <is>
          <t> </t>
        </is>
      </c>
      <c r="R707" s="1" t="inlineStr">
        <is>
          <t>978-5-521-16989-4</t>
        </is>
      </c>
      <c r="S707" s="1" t="inlineStr">
        <is>
          <t>9785521169894</t>
        </is>
      </c>
      <c r="T707" s="9" t="n">
        <v>10</v>
      </c>
      <c r="U707" s="1">
        <f>ROUNDUP(3354.55*(1-$F$3),2)</f>
        <v/>
      </c>
      <c r="V707" s="1" t="n">
        <v>1942</v>
      </c>
      <c r="Y707" s="1" t="inlineStr">
        <is>
          <t>Лучшие книги для малышей. Учимся с Джоуи (комплект из 5-ти книг)</t>
        </is>
      </c>
      <c r="Z707" s="1" t="inlineStr">
        <is>
          <t>6 +</t>
        </is>
      </c>
      <c r="AA707" s="12" t="n">
        <v>44655</v>
      </c>
      <c r="AB707" s="1" t="inlineStr">
        <is>
          <t>Детская литература</t>
        </is>
      </c>
      <c r="AC707" s="1" t="inlineStr">
        <is>
          <t>Художественная литература</t>
        </is>
      </c>
      <c r="AD707" s="1" t="inlineStr">
        <is>
          <t>Литературная сказка</t>
        </is>
      </c>
      <c r="AE707" s="1" t="inlineStr">
        <is>
          <t>мелованная</t>
        </is>
      </c>
      <c r="AG707" s="1" t="n">
        <v>10413230</v>
      </c>
      <c r="AI707" s="1" t="inlineStr">
        <is>
          <t>4901990000</t>
        </is>
      </c>
    </row>
    <row r="708" customFormat="1" s="1">
      <c r="C708" s="1" t="inlineStr">
        <is>
          <t>11451670</t>
        </is>
      </c>
      <c r="D708" s="1" t="inlineStr">
        <is>
          <t>Комплекты</t>
        </is>
      </c>
      <c r="E708" s="1" t="inlineStr">
        <is>
          <t>Основы системных решений по модели Черчилля; 48 законов власти (комплект из 2-х книг). Грин Р., Медведев Д.Л.</t>
        </is>
      </c>
      <c r="F708" s="13" t="inlineStr">
        <is>
          <t>См.обл.</t>
        </is>
      </c>
      <c r="G708" s="1" t="inlineStr">
        <is>
          <t>Грин Р., Медведев Д.Л.</t>
        </is>
      </c>
      <c r="H708" s="1" t="inlineStr">
        <is>
          <t>70х100/16</t>
        </is>
      </c>
      <c r="I708" s="1" t="n">
        <v>1520</v>
      </c>
      <c r="J708" s="1" t="inlineStr">
        <is>
          <t>РИПОЛ Классик</t>
        </is>
      </c>
      <c r="M708" s="1" t="inlineStr">
        <is>
          <t>2025</t>
        </is>
      </c>
      <c r="N708" s="1" t="inlineStr">
        <is>
          <t>П</t>
        </is>
      </c>
      <c r="O708" s="9" t="n"/>
      <c r="P708" s="1">
        <f>ROUNDUP(3650*(1-$F$3),2)</f>
        <v/>
      </c>
      <c r="Q708" s="1" t="inlineStr">
        <is>
          <t> </t>
        </is>
      </c>
      <c r="R708" s="1" t="inlineStr">
        <is>
          <t>978-5-521-83633-8</t>
        </is>
      </c>
      <c r="S708" s="1" t="inlineStr">
        <is>
          <t>9785521836338</t>
        </is>
      </c>
      <c r="T708" s="9" t="n">
        <v>10</v>
      </c>
      <c r="U708" s="1">
        <f>ROUNDUP(3318.18*(1-$F$3),2)</f>
        <v/>
      </c>
      <c r="V708" s="1" t="n">
        <v>1676</v>
      </c>
      <c r="Y708" s="1" t="inlineStr">
        <is>
          <t>Основы системных решений по модели Черчилля; 48 законов власти (комплект из 2-х книг)</t>
        </is>
      </c>
      <c r="Z708" s="1" t="inlineStr">
        <is>
          <t>16+</t>
        </is>
      </c>
      <c r="AA708" s="12" t="n">
        <v>45531</v>
      </c>
      <c r="AB708" s="1" t="inlineStr">
        <is>
          <t>Общественные науки</t>
        </is>
      </c>
      <c r="AC708" s="1" t="inlineStr">
        <is>
          <t>Политика</t>
        </is>
      </c>
      <c r="AD708" s="1" t="inlineStr">
        <is>
          <t>Государственное управление. Власть</t>
        </is>
      </c>
      <c r="AE708" s="1" t="inlineStr">
        <is>
          <t>офсетная</t>
        </is>
      </c>
      <c r="AG708" s="1" t="n">
        <v>11451670</v>
      </c>
      <c r="AI708" s="1" t="inlineStr">
        <is>
          <t>4901990000</t>
        </is>
      </c>
    </row>
    <row r="709" customFormat="1" s="1">
      <c r="C709" s="1" t="inlineStr">
        <is>
          <t>11498490</t>
        </is>
      </c>
      <c r="D709" s="1" t="inlineStr">
        <is>
          <t>Комплекты</t>
        </is>
      </c>
      <c r="E709" s="1" t="inlineStr">
        <is>
          <t>Пищеблок и Пищеблок 2 (комплект из 2-х книг). Иванов А.В., Пронина А.</t>
        </is>
      </c>
      <c r="F709" s="13" t="inlineStr">
        <is>
          <t>См.обл.</t>
        </is>
      </c>
      <c r="G709" s="1" t="inlineStr">
        <is>
          <t>Иванов А.В., Пронина А.</t>
        </is>
      </c>
      <c r="H709" s="1" t="inlineStr">
        <is>
          <t>60х90/16</t>
        </is>
      </c>
      <c r="I709" s="1" t="n">
        <v>928</v>
      </c>
      <c r="J709" s="1" t="inlineStr">
        <is>
          <t>РИПОЛ Классик</t>
        </is>
      </c>
      <c r="M709" s="1" t="inlineStr">
        <is>
          <t>2026</t>
        </is>
      </c>
      <c r="N709" s="1" t="inlineStr">
        <is>
          <t>П</t>
        </is>
      </c>
      <c r="O709" s="9" t="n"/>
      <c r="P709" s="1">
        <f>ROUNDUP(2500*(1-$F$3),2)</f>
        <v/>
      </c>
      <c r="Q709" s="1" t="inlineStr">
        <is>
          <t> </t>
        </is>
      </c>
      <c r="R709" s="1" t="inlineStr">
        <is>
          <t>978-5-521-83805-9</t>
        </is>
      </c>
      <c r="S709" s="1" t="inlineStr">
        <is>
          <t>9785521838059</t>
        </is>
      </c>
      <c r="T709" s="9" t="n">
        <v>10</v>
      </c>
      <c r="U709" s="1">
        <f>ROUNDUP(2272.73*(1-$F$3),2)</f>
        <v/>
      </c>
      <c r="V709" s="1" t="n">
        <v>1152</v>
      </c>
      <c r="Y709" s="1" t="inlineStr">
        <is>
          <t>Пищеблок и Пищеблок 2 (комплект из 2-х книг)</t>
        </is>
      </c>
      <c r="Z709" s="1" t="inlineStr">
        <is>
          <t>16+</t>
        </is>
      </c>
      <c r="AA709" s="12" t="n">
        <v>45561</v>
      </c>
      <c r="AB709" s="1" t="inlineStr">
        <is>
          <t>Художественная литература</t>
        </is>
      </c>
      <c r="AC709" s="1" t="inlineStr">
        <is>
          <t>Фантастика. Мистика. Ужасы</t>
        </is>
      </c>
      <c r="AD709" s="1" t="inlineStr">
        <is>
          <t>Русская фантастика</t>
        </is>
      </c>
      <c r="AE709" s="1" t="inlineStr">
        <is>
          <t>офсетная</t>
        </is>
      </c>
      <c r="AG709" s="1" t="n">
        <v>11498490</v>
      </c>
      <c r="AI709" s="1" t="inlineStr">
        <is>
          <t>4901990000</t>
        </is>
      </c>
    </row>
    <row r="710" customFormat="1" s="1">
      <c r="C710" s="1" t="inlineStr">
        <is>
          <t>9796810</t>
        </is>
      </c>
      <c r="D710" s="1" t="inlineStr">
        <is>
          <t>Комплекты</t>
        </is>
      </c>
      <c r="E710" s="1" t="inlineStr">
        <is>
          <t>Семейная библиотека (комплект из 3-х книг). Ридел А., Расмуссен К., Александер Дж.</t>
        </is>
      </c>
      <c r="F710" s="13" t="inlineStr">
        <is>
          <t>См.обл.</t>
        </is>
      </c>
      <c r="G710" s="1" t="inlineStr">
        <is>
          <t>Ридел А., Расмуссен К., Александер Дж.</t>
        </is>
      </c>
      <c r="H710" s="1" t="inlineStr">
        <is>
          <t>84х108/32</t>
        </is>
      </c>
      <c r="I710" s="1" t="n">
        <v>1120</v>
      </c>
      <c r="J710" s="1" t="inlineStr">
        <is>
          <t>РИПОЛ Классик</t>
        </is>
      </c>
      <c r="M710" s="1" t="inlineStr">
        <is>
          <t>2021</t>
        </is>
      </c>
      <c r="N710" s="1" t="inlineStr">
        <is>
          <t>П</t>
        </is>
      </c>
      <c r="O710" s="9" t="n"/>
      <c r="P710" s="1">
        <f>ROUNDUP(2430*(1-$F$3),2)</f>
        <v/>
      </c>
      <c r="Q710" s="1" t="inlineStr">
        <is>
          <t> </t>
        </is>
      </c>
      <c r="R710" s="1" t="inlineStr">
        <is>
          <t>978-5-386-14486-9</t>
        </is>
      </c>
      <c r="S710" s="1" t="inlineStr">
        <is>
          <t>9785386144869</t>
        </is>
      </c>
      <c r="T710" s="9" t="n">
        <v>10</v>
      </c>
      <c r="U710" s="1">
        <f>ROUNDUP(2209.09*(1-$F$3),2)</f>
        <v/>
      </c>
      <c r="V710" s="1" t="n">
        <v>1211</v>
      </c>
      <c r="Y710" s="1" t="inlineStr">
        <is>
          <t>Семейная библиотека (комплект из 3-х книг)</t>
        </is>
      </c>
      <c r="Z710" s="1" t="inlineStr">
        <is>
          <t>16+</t>
        </is>
      </c>
      <c r="AA710" s="12" t="n">
        <v>44399</v>
      </c>
      <c r="AB710" s="1" t="inlineStr">
        <is>
          <t>Художественная литература</t>
        </is>
      </c>
      <c r="AC710" s="1" t="inlineStr">
        <is>
          <t>Зарубежная литература</t>
        </is>
      </c>
      <c r="AD710" s="1" t="inlineStr">
        <is>
          <t>Европейская литература</t>
        </is>
      </c>
      <c r="AE710" s="1" t="inlineStr">
        <is>
          <t>офсетная</t>
        </is>
      </c>
      <c r="AG710" s="1" t="n">
        <v>9796810</v>
      </c>
      <c r="AI710" s="1" t="inlineStr">
        <is>
          <t>4901990000</t>
        </is>
      </c>
    </row>
    <row r="711" customFormat="1" s="1">
      <c r="C711" s="1" t="inlineStr">
        <is>
          <t>9465080</t>
        </is>
      </c>
      <c r="D711" s="1" t="inlineStr">
        <is>
          <t>Комплекты</t>
        </is>
      </c>
      <c r="E711" s="1" t="inlineStr">
        <is>
          <t>Серия обучающих развивашек "Лабиринты" (комплект из 2-х книг). Гинар Т., Фрайд Г.</t>
        </is>
      </c>
      <c r="F711" s="13" t="inlineStr">
        <is>
          <t>См.обл.</t>
        </is>
      </c>
      <c r="G711" s="1" t="inlineStr">
        <is>
          <t>Гинар Т., Фрайд Г.</t>
        </is>
      </c>
      <c r="H711" s="1" t="inlineStr">
        <is>
          <t>60х84/8</t>
        </is>
      </c>
      <c r="I711" s="1" t="n">
        <v>112</v>
      </c>
      <c r="J711" s="1" t="inlineStr">
        <is>
          <t>РИПОЛ Классик</t>
        </is>
      </c>
      <c r="M711" s="1" t="inlineStr">
        <is>
          <t>2021</t>
        </is>
      </c>
      <c r="N711" s="1" t="inlineStr">
        <is>
          <t>П</t>
        </is>
      </c>
      <c r="O711" s="9" t="n">
        <v>25</v>
      </c>
      <c r="P711" s="1">
        <f>ROUNDUP(883.1*(1-$F$3),2)</f>
        <v/>
      </c>
      <c r="Q711" s="1" t="inlineStr">
        <is>
          <t> </t>
        </is>
      </c>
      <c r="R711" s="1" t="inlineStr">
        <is>
          <t>978-5-521-15772-3</t>
        </is>
      </c>
      <c r="S711" s="1" t="inlineStr">
        <is>
          <t>9785521157723</t>
        </is>
      </c>
      <c r="T711" s="9" t="n">
        <v>10</v>
      </c>
      <c r="U711" s="1">
        <f>ROUNDUP(802.82*(1-$F$3),2)</f>
        <v/>
      </c>
      <c r="V711" s="1" t="n">
        <v>691</v>
      </c>
      <c r="Y711" s="1" t="inlineStr">
        <is>
          <t>Серия обучающих развивашек "Лабиринты" (комплект из 2-х книг)</t>
        </is>
      </c>
      <c r="Z711" s="1" t="inlineStr">
        <is>
          <t>12+</t>
        </is>
      </c>
      <c r="AA711" s="12" t="n">
        <v>44041</v>
      </c>
      <c r="AB711" s="1" t="inlineStr">
        <is>
          <t>Детская литература</t>
        </is>
      </c>
      <c r="AC711" s="1" t="inlineStr">
        <is>
          <t>Детское творчество и досуг</t>
        </is>
      </c>
      <c r="AD711" s="1" t="inlineStr">
        <is>
          <t>Кроссворды. Головоломки</t>
        </is>
      </c>
      <c r="AE711" s="1" t="inlineStr">
        <is>
          <t>офсетная</t>
        </is>
      </c>
      <c r="AG711" s="1" t="n">
        <v>9465080</v>
      </c>
      <c r="AI711" s="1" t="inlineStr">
        <is>
          <t>4901990000</t>
        </is>
      </c>
    </row>
    <row r="712" customFormat="1" s="1">
      <c r="C712" s="1" t="inlineStr">
        <is>
          <t>10413220</t>
        </is>
      </c>
      <c r="D712" s="1" t="inlineStr">
        <is>
          <t>Комплекты</t>
        </is>
      </c>
      <c r="E712" s="1" t="inlineStr">
        <is>
          <t>Советы поросенка Джоуи. Российская премьера (комплект из 5-ти книг). Хунбо Г.</t>
        </is>
      </c>
      <c r="F712" s="13" t="inlineStr">
        <is>
          <t>См.обл.</t>
        </is>
      </c>
      <c r="G712" s="1" t="inlineStr">
        <is>
          <t>Хунбо Г.</t>
        </is>
      </c>
      <c r="H712" s="1" t="inlineStr">
        <is>
          <t>60х90/8</t>
        </is>
      </c>
      <c r="I712" s="1" t="n">
        <v>160</v>
      </c>
      <c r="J712" s="1" t="inlineStr">
        <is>
          <t>РИПОЛ Классик</t>
        </is>
      </c>
      <c r="M712" s="1" t="inlineStr">
        <is>
          <t>2022</t>
        </is>
      </c>
      <c r="N712" s="1" t="inlineStr">
        <is>
          <t>П</t>
        </is>
      </c>
      <c r="O712" s="9" t="n"/>
      <c r="P712" s="1">
        <f>ROUNDUP(3940*(1-$F$3),2)</f>
        <v/>
      </c>
      <c r="Q712" s="1" t="inlineStr">
        <is>
          <t> </t>
        </is>
      </c>
      <c r="R712" s="1" t="inlineStr">
        <is>
          <t>978-5-521-16988-7</t>
        </is>
      </c>
      <c r="S712" s="1" t="inlineStr">
        <is>
          <t>9785521169887</t>
        </is>
      </c>
      <c r="T712" s="9" t="n">
        <v>10</v>
      </c>
      <c r="U712" s="1">
        <f>ROUNDUP(3581.82*(1-$F$3),2)</f>
        <v/>
      </c>
      <c r="V712" s="1" t="n">
        <v>1942</v>
      </c>
      <c r="Y712" s="1" t="inlineStr">
        <is>
          <t>Советы поросенка Джоуи. Российская премьера (комплект из 5-ти книг)</t>
        </is>
      </c>
      <c r="Z712" s="1" t="inlineStr">
        <is>
          <t>0 +</t>
        </is>
      </c>
      <c r="AA712" s="12" t="n">
        <v>44655</v>
      </c>
      <c r="AB712" s="1" t="inlineStr">
        <is>
          <t>Детская литература</t>
        </is>
      </c>
      <c r="AC712" s="1" t="inlineStr">
        <is>
          <t>Художественная литература</t>
        </is>
      </c>
      <c r="AD712" s="1" t="inlineStr">
        <is>
          <t>Литературная сказка</t>
        </is>
      </c>
      <c r="AE712" s="1" t="inlineStr">
        <is>
          <t>мелованная</t>
        </is>
      </c>
      <c r="AG712" s="1" t="n">
        <v>10413220</v>
      </c>
      <c r="AI712" s="1" t="inlineStr">
        <is>
          <t>4901990000</t>
        </is>
      </c>
    </row>
    <row r="713" customFormat="1" s="1">
      <c r="C713" s="1" t="inlineStr">
        <is>
          <t>11498440</t>
        </is>
      </c>
      <c r="D713" s="1" t="inlineStr">
        <is>
          <t>Комплекты</t>
        </is>
      </c>
      <c r="E713" s="1" t="inlineStr">
        <is>
          <t>Тени тевтонов; Пищеблок; Пищеблок -2 (комплект из 3-х книг). Иванов А.В., Пронина А.</t>
        </is>
      </c>
      <c r="F713" s="13" t="inlineStr">
        <is>
          <t>См.обл.</t>
        </is>
      </c>
      <c r="G713" s="1" t="inlineStr">
        <is>
          <t>Иванов А.В., Пронина А.</t>
        </is>
      </c>
      <c r="H713" s="1" t="inlineStr">
        <is>
          <t>60х90/16</t>
        </is>
      </c>
      <c r="I713" s="1" t="n">
        <v>1312</v>
      </c>
      <c r="J713" s="1" t="inlineStr">
        <is>
          <t>РИПОЛ Классик</t>
        </is>
      </c>
      <c r="M713" s="1" t="inlineStr">
        <is>
          <t>2026</t>
        </is>
      </c>
      <c r="N713" s="1" t="inlineStr">
        <is>
          <t>П</t>
        </is>
      </c>
      <c r="O713" s="9" t="n"/>
      <c r="P713" s="1">
        <f>ROUNDUP(3640*(1-$F$3),2)</f>
        <v/>
      </c>
      <c r="Q713" s="1" t="inlineStr">
        <is>
          <t> </t>
        </is>
      </c>
      <c r="R713" s="1" t="inlineStr">
        <is>
          <t>978-5-521-83858-5</t>
        </is>
      </c>
      <c r="S713" s="1" t="inlineStr">
        <is>
          <t>9785521838585</t>
        </is>
      </c>
      <c r="T713" s="9" t="n">
        <v>10</v>
      </c>
      <c r="U713" s="1">
        <f>ROUNDUP(3309.09*(1-$F$3),2)</f>
        <v/>
      </c>
      <c r="V713" s="1" t="n">
        <v>1637</v>
      </c>
      <c r="Y713" s="1" t="inlineStr">
        <is>
          <t>Тени тевтонов; Пищеблок; Пищеблок -2 (комплект из 3-х книг)</t>
        </is>
      </c>
      <c r="Z713" s="1" t="inlineStr">
        <is>
          <t>16+</t>
        </is>
      </c>
      <c r="AA713" s="12" t="n">
        <v>45561</v>
      </c>
      <c r="AB713" s="1" t="inlineStr">
        <is>
          <t>Художественная литература</t>
        </is>
      </c>
      <c r="AC713" s="1" t="inlineStr">
        <is>
          <t>Фантастика. Мистика. Ужасы</t>
        </is>
      </c>
      <c r="AD713" s="1" t="inlineStr">
        <is>
          <t>Русская фантастика</t>
        </is>
      </c>
      <c r="AE713" s="1" t="inlineStr">
        <is>
          <t>офсетная</t>
        </is>
      </c>
      <c r="AG713" s="1" t="n">
        <v>11498440</v>
      </c>
      <c r="AI713" s="1" t="inlineStr">
        <is>
          <t>4901990000</t>
        </is>
      </c>
    </row>
    <row r="714" customFormat="1" s="1">
      <c r="C714" s="1" t="inlineStr">
        <is>
          <t xml:space="preserve">9086360             </t>
        </is>
      </c>
      <c r="D714" s="1" t="inlineStr">
        <is>
          <t>Конец парада</t>
        </is>
      </c>
      <c r="E714" s="1" t="inlineStr">
        <is>
          <t>Конец парада. Каждому свое: роман. Форд Ф.М.</t>
        </is>
      </c>
      <c r="F714" s="13" t="inlineStr">
        <is>
          <t>См.обл.</t>
        </is>
      </c>
      <c r="G714" s="1" t="inlineStr">
        <is>
          <t>Форд Ф.М.</t>
        </is>
      </c>
      <c r="H714" s="1" t="inlineStr">
        <is>
          <t>60х90/16</t>
        </is>
      </c>
      <c r="I714" s="1" t="n">
        <v>383</v>
      </c>
      <c r="J714" s="1" t="inlineStr">
        <is>
          <t>РИПОЛ Классик</t>
        </is>
      </c>
      <c r="K714" s="1" t="inlineStr">
        <is>
          <t>Пальмира</t>
        </is>
      </c>
      <c r="M714" s="1" t="inlineStr">
        <is>
          <t>2019</t>
        </is>
      </c>
      <c r="N714" s="1" t="inlineStr">
        <is>
          <t>О</t>
        </is>
      </c>
      <c r="O714" s="9" t="n">
        <v>14</v>
      </c>
      <c r="P714" s="1">
        <f>ROUNDUP(1090*(1-$F$3),2)</f>
        <v/>
      </c>
      <c r="Q714" s="1" t="inlineStr">
        <is>
          <t> </t>
        </is>
      </c>
      <c r="R714" s="1" t="inlineStr">
        <is>
          <t>978-5-386-12735-0</t>
        </is>
      </c>
      <c r="S714" s="1" t="inlineStr">
        <is>
          <t>9785386124748</t>
        </is>
      </c>
      <c r="T714" s="9" t="n">
        <v>10</v>
      </c>
      <c r="U714" s="1">
        <f>ROUNDUP(990.91*(1-$F$3),2)</f>
        <v/>
      </c>
      <c r="V714" s="1" t="n">
        <v>411</v>
      </c>
      <c r="Y714" s="1" t="inlineStr">
        <is>
          <t>Конец парада. Каждому свое: роман</t>
        </is>
      </c>
      <c r="Z714" s="1" t="inlineStr">
        <is>
          <t>18+</t>
        </is>
      </c>
      <c r="AA714" s="12" t="n">
        <v>43647</v>
      </c>
      <c r="AB714" s="1" t="inlineStr">
        <is>
          <t>Художественная литература</t>
        </is>
      </c>
      <c r="AC714" s="1" t="inlineStr">
        <is>
          <t>Зарубежная литература</t>
        </is>
      </c>
      <c r="AD714" s="1" t="inlineStr">
        <is>
          <t>Европейская литература</t>
        </is>
      </c>
      <c r="AE714" s="1" t="inlineStr">
        <is>
          <t>офсетная</t>
        </is>
      </c>
      <c r="AG714" s="1" t="n">
        <v>9086360</v>
      </c>
      <c r="AI714" s="1" t="inlineStr">
        <is>
          <t>4901990000</t>
        </is>
      </c>
    </row>
    <row r="715" customFormat="1" s="1">
      <c r="C715" s="1" t="inlineStr">
        <is>
          <t xml:space="preserve">8742060             </t>
        </is>
      </c>
      <c r="D715" s="1" t="inlineStr">
        <is>
          <t>Конспект романа</t>
        </is>
      </c>
      <c r="E715" s="1" t="inlineStr">
        <is>
          <t>Карамазовы: роман в сокращении. Достоевский Ф.М.</t>
        </is>
      </c>
      <c r="F715" s="13" t="inlineStr">
        <is>
          <t>См.обл.</t>
        </is>
      </c>
      <c r="G715" s="1" t="inlineStr">
        <is>
          <t>Достоевский Ф.М.</t>
        </is>
      </c>
      <c r="H715" s="1" t="inlineStr">
        <is>
          <t>60х90/16</t>
        </is>
      </c>
      <c r="I715" s="1" t="n">
        <v>624</v>
      </c>
      <c r="J715" s="1" t="inlineStr">
        <is>
          <t>РИПОЛ Классик</t>
        </is>
      </c>
      <c r="K715" s="1" t="inlineStr">
        <is>
          <t>Пальмира</t>
        </is>
      </c>
      <c r="M715" s="1" t="inlineStr">
        <is>
          <t>2018</t>
        </is>
      </c>
      <c r="N715" s="1" t="inlineStr">
        <is>
          <t>П</t>
        </is>
      </c>
      <c r="O715" s="9" t="n">
        <v>8</v>
      </c>
      <c r="P715" s="1">
        <f>ROUNDUP(1298.6*(1-$F$3),2)</f>
        <v/>
      </c>
      <c r="Q715" s="1" t="inlineStr">
        <is>
          <t> </t>
        </is>
      </c>
      <c r="R715" s="1" t="inlineStr">
        <is>
          <t>978-5-386-12137-2</t>
        </is>
      </c>
      <c r="S715" s="1" t="inlineStr">
        <is>
          <t>9785386121372</t>
        </is>
      </c>
      <c r="T715" s="9" t="n">
        <v>10</v>
      </c>
      <c r="U715" s="1">
        <f>ROUNDUP(1180.55*(1-$F$3),2)</f>
        <v/>
      </c>
      <c r="V715" s="1" t="n">
        <v>766</v>
      </c>
      <c r="Y715" s="1" t="inlineStr">
        <is>
          <t>Карамазовы: роман в сокращении</t>
        </is>
      </c>
      <c r="Z715" s="1" t="inlineStr">
        <is>
          <t>12+</t>
        </is>
      </c>
      <c r="AA715" s="12" t="n">
        <v>43353</v>
      </c>
      <c r="AB715" s="1" t="inlineStr">
        <is>
          <t>Художественная литература</t>
        </is>
      </c>
      <c r="AC715" s="1" t="inlineStr">
        <is>
          <t>Русская литература</t>
        </is>
      </c>
      <c r="AD715" s="1" t="inlineStr">
        <is>
          <t>Русская литература XVIII-нач. XX вв. (до 1917 г.)</t>
        </is>
      </c>
      <c r="AE715" s="1" t="inlineStr">
        <is>
          <t>офсетная</t>
        </is>
      </c>
      <c r="AG715" s="1" t="n">
        <v>8742060</v>
      </c>
      <c r="AI715" s="1" t="inlineStr">
        <is>
          <t>4901990000</t>
        </is>
      </c>
    </row>
    <row r="716" customFormat="1" s="1">
      <c r="C716" s="1" t="inlineStr">
        <is>
          <t xml:space="preserve">9287070             </t>
        </is>
      </c>
      <c r="D716" s="1" t="inlineStr">
        <is>
          <t>Корги-детектив</t>
        </is>
      </c>
      <c r="E716" s="1" t="inlineStr">
        <is>
          <t>Корги-детектив: жестокие вкусняшки. Эбботт М.</t>
        </is>
      </c>
      <c r="F716" s="13" t="inlineStr">
        <is>
          <t>См.обл.</t>
        </is>
      </c>
      <c r="G716" s="1" t="inlineStr">
        <is>
          <t>Эбботт М.</t>
        </is>
      </c>
      <c r="H716" s="1" t="inlineStr">
        <is>
          <t>84х108/32</t>
        </is>
      </c>
      <c r="I716" s="1" t="n">
        <v>288</v>
      </c>
      <c r="J716" s="1" t="inlineStr">
        <is>
          <t>РИПОЛ Классик</t>
        </is>
      </c>
      <c r="M716" s="1" t="inlineStr">
        <is>
          <t>2020</t>
        </is>
      </c>
      <c r="N716" s="1" t="inlineStr">
        <is>
          <t>П</t>
        </is>
      </c>
      <c r="O716" s="9" t="n">
        <v>14</v>
      </c>
      <c r="P716" s="1">
        <f>ROUNDUP(1000*(1-$F$3),2)</f>
        <v/>
      </c>
      <c r="Q716" s="1" t="inlineStr">
        <is>
          <t> </t>
        </is>
      </c>
      <c r="R716" s="1" t="inlineStr">
        <is>
          <t>978-5-386-13581-2</t>
        </is>
      </c>
      <c r="S716" s="1" t="inlineStr">
        <is>
          <t>9785386135812</t>
        </is>
      </c>
      <c r="T716" s="9" t="n">
        <v>10</v>
      </c>
      <c r="U716" s="1">
        <f>ROUNDUP(909.09*(1-$F$3),2)</f>
        <v/>
      </c>
      <c r="V716" s="1" t="n">
        <v>316</v>
      </c>
      <c r="Y716" s="1" t="inlineStr">
        <is>
          <t>Корги-детектив: жестокие вкусняшки</t>
        </is>
      </c>
      <c r="Z716" s="1" t="inlineStr">
        <is>
          <t>16+</t>
        </is>
      </c>
      <c r="AA716" s="12" t="n">
        <v>43868</v>
      </c>
      <c r="AB716" s="1" t="inlineStr">
        <is>
          <t>Художественная литература</t>
        </is>
      </c>
      <c r="AC716" s="1" t="inlineStr">
        <is>
          <t>Детективы. Боевики. Триллеры</t>
        </is>
      </c>
      <c r="AD716" s="1" t="inlineStr">
        <is>
          <t>Зарубежный детектив</t>
        </is>
      </c>
      <c r="AE716" s="1" t="inlineStr">
        <is>
          <t>офсетная</t>
        </is>
      </c>
      <c r="AG716" s="1" t="n">
        <v>9287070</v>
      </c>
      <c r="AI716" s="1" t="inlineStr">
        <is>
          <t>4901990000</t>
        </is>
      </c>
      <c r="AJ716" s="1" t="inlineStr">
        <is>
          <t>Зпв</t>
        </is>
      </c>
    </row>
    <row r="717" customFormat="1" s="1">
      <c r="C717" s="1" t="inlineStr">
        <is>
          <t xml:space="preserve">9471970             </t>
        </is>
      </c>
      <c r="D717" s="1" t="inlineStr">
        <is>
          <t>Корги-детектив</t>
        </is>
      </c>
      <c r="E717" s="1" t="inlineStr">
        <is>
          <t>Корги-детектив: сварливые пташки. Эбботт М.</t>
        </is>
      </c>
      <c r="F717" s="13" t="inlineStr">
        <is>
          <t>См.обл.</t>
        </is>
      </c>
      <c r="G717" s="1" t="inlineStr">
        <is>
          <t>Эбботт М.</t>
        </is>
      </c>
      <c r="H717" s="1" t="inlineStr">
        <is>
          <t>84х108/32</t>
        </is>
      </c>
      <c r="I717" s="1" t="n">
        <v>320</v>
      </c>
      <c r="J717" s="1" t="inlineStr">
        <is>
          <t>РИПОЛ Классик</t>
        </is>
      </c>
      <c r="M717" s="1" t="inlineStr">
        <is>
          <t>2020</t>
        </is>
      </c>
      <c r="N717" s="1" t="inlineStr">
        <is>
          <t>П</t>
        </is>
      </c>
      <c r="O717" s="9" t="n">
        <v>12</v>
      </c>
      <c r="P717" s="1">
        <f>ROUNDUP(1020*(1-$F$3),2)</f>
        <v/>
      </c>
      <c r="Q717" s="1" t="inlineStr">
        <is>
          <t> </t>
        </is>
      </c>
      <c r="R717" s="1" t="inlineStr">
        <is>
          <t>978-5-386-13762-5</t>
        </is>
      </c>
      <c r="S717" s="1" t="inlineStr">
        <is>
          <t>9785386137625</t>
        </is>
      </c>
      <c r="T717" s="9" t="n">
        <v>10</v>
      </c>
      <c r="U717" s="1">
        <f>ROUNDUP(927.27*(1-$F$3),2)</f>
        <v/>
      </c>
      <c r="V717" s="1" t="n">
        <v>344</v>
      </c>
      <c r="Y717" s="1" t="inlineStr">
        <is>
          <t>Корги-детектив: сварливые пташки</t>
        </is>
      </c>
      <c r="Z717" s="1" t="inlineStr">
        <is>
          <t>16+</t>
        </is>
      </c>
      <c r="AA717" s="12" t="n">
        <v>44075</v>
      </c>
      <c r="AB717" s="1" t="inlineStr">
        <is>
          <t>Художественная литература</t>
        </is>
      </c>
      <c r="AC717" s="1" t="inlineStr">
        <is>
          <t>Зарубежная литература</t>
        </is>
      </c>
      <c r="AD717" s="1" t="inlineStr">
        <is>
          <t>Литература Америки и Австралии</t>
        </is>
      </c>
      <c r="AE717" s="1" t="inlineStr">
        <is>
          <t>офсетная</t>
        </is>
      </c>
      <c r="AG717" s="1" t="n">
        <v>9471970</v>
      </c>
      <c r="AI717" s="1" t="inlineStr">
        <is>
          <t>4901990000</t>
        </is>
      </c>
    </row>
    <row r="718" customFormat="1" s="1">
      <c r="C718" s="1" t="inlineStr">
        <is>
          <t xml:space="preserve">9620180             </t>
        </is>
      </c>
      <c r="D718" s="1" t="inlineStr">
        <is>
          <t>Корни и соль</t>
        </is>
      </c>
      <c r="E718" s="1" t="inlineStr">
        <is>
          <t>13 сказок лесов и морей. Салливан Д.</t>
        </is>
      </c>
      <c r="F718" s="13" t="inlineStr">
        <is>
          <t>См.обл.</t>
        </is>
      </c>
      <c r="G718" s="1" t="inlineStr">
        <is>
          <t>Салливан Д.</t>
        </is>
      </c>
      <c r="H718" s="1" t="inlineStr">
        <is>
          <t>70х90/16</t>
        </is>
      </c>
      <c r="I718" s="1" t="n">
        <v>336</v>
      </c>
      <c r="J718" s="1" t="inlineStr">
        <is>
          <t>РИПОЛ Классик</t>
        </is>
      </c>
      <c r="M718" s="1" t="inlineStr">
        <is>
          <t>2022</t>
        </is>
      </c>
      <c r="N718" s="1" t="inlineStr">
        <is>
          <t>П</t>
        </is>
      </c>
      <c r="O718" s="9" t="n">
        <v>6</v>
      </c>
      <c r="P718" s="1">
        <f>ROUNDUP(1300*(1-$F$3),2)</f>
        <v/>
      </c>
      <c r="Q718" s="1" t="inlineStr">
        <is>
          <t> </t>
        </is>
      </c>
      <c r="R718" s="1" t="inlineStr">
        <is>
          <t>978-5-386-13936-0</t>
        </is>
      </c>
      <c r="S718" s="1" t="inlineStr">
        <is>
          <t>9785386139360</t>
        </is>
      </c>
      <c r="T718" s="9" t="n">
        <v>10</v>
      </c>
      <c r="U718" s="1">
        <f>ROUNDUP(1181.82*(1-$F$3),2)</f>
        <v/>
      </c>
      <c r="V718" s="1" t="n">
        <v>569</v>
      </c>
      <c r="Y718" s="1" t="inlineStr">
        <is>
          <t>13 сказок лесов и морей</t>
        </is>
      </c>
      <c r="Z718" s="1" t="inlineStr">
        <is>
          <t>18+</t>
        </is>
      </c>
      <c r="AA718" s="12" t="n">
        <v>44238</v>
      </c>
      <c r="AB718" s="1" t="inlineStr">
        <is>
          <t>Художественная литература</t>
        </is>
      </c>
      <c r="AC718" s="1" t="inlineStr">
        <is>
          <t>Фантастика. Мистика. Ужасы</t>
        </is>
      </c>
      <c r="AD718" s="1" t="inlineStr">
        <is>
          <t>Русская фантастика</t>
        </is>
      </c>
      <c r="AE718" s="1" t="inlineStr">
        <is>
          <t>офсетная</t>
        </is>
      </c>
      <c r="AG718" s="1" t="n">
        <v>9620180</v>
      </c>
      <c r="AI718" s="1" t="inlineStr">
        <is>
          <t>4901990000</t>
        </is>
      </c>
    </row>
    <row r="719" customFormat="1" s="1">
      <c r="C719" s="1" t="inlineStr">
        <is>
          <t xml:space="preserve">11067770            </t>
        </is>
      </c>
      <c r="D719" s="1" t="inlineStr">
        <is>
          <t>Корни и соль</t>
        </is>
      </c>
      <c r="E719" s="1" t="inlineStr">
        <is>
          <t>Гнев - ее ответ. Салливан Д.</t>
        </is>
      </c>
      <c r="F719" s="13" t="inlineStr">
        <is>
          <t>См.обл.</t>
        </is>
      </c>
      <c r="G719" s="1" t="inlineStr">
        <is>
          <t>Салливан Д.</t>
        </is>
      </c>
      <c r="H719" s="1" t="inlineStr">
        <is>
          <t>70х90/16</t>
        </is>
      </c>
      <c r="I719" s="1" t="n">
        <v>416</v>
      </c>
      <c r="J719" s="1" t="inlineStr">
        <is>
          <t>РИПОЛ Классик</t>
        </is>
      </c>
      <c r="M719" s="1" t="inlineStr">
        <is>
          <t>2023</t>
        </is>
      </c>
      <c r="N719" s="1" t="inlineStr">
        <is>
          <t>П</t>
        </is>
      </c>
      <c r="O719" s="9" t="n">
        <v>6</v>
      </c>
      <c r="P719" s="1">
        <f>ROUNDUP(1540*(1-$F$3),2)</f>
        <v/>
      </c>
      <c r="Q719" s="1" t="inlineStr">
        <is>
          <t> </t>
        </is>
      </c>
      <c r="R719" s="1" t="inlineStr">
        <is>
          <t>978-5-386-14993-2</t>
        </is>
      </c>
      <c r="S719" s="1" t="inlineStr">
        <is>
          <t>9785386149932</t>
        </is>
      </c>
      <c r="T719" s="9" t="n">
        <v>10</v>
      </c>
      <c r="U719" s="1">
        <f>ROUNDUP(1400*(1-$F$3),2)</f>
        <v/>
      </c>
      <c r="V719" s="1" t="n">
        <v>686</v>
      </c>
      <c r="Y719" s="1" t="inlineStr">
        <is>
          <t>Гнев - ее ответ</t>
        </is>
      </c>
      <c r="Z719" s="1" t="inlineStr">
        <is>
          <t>16+</t>
        </is>
      </c>
      <c r="AA719" s="12" t="n">
        <v>45193</v>
      </c>
      <c r="AB719" s="1" t="inlineStr">
        <is>
          <t>Художественная литература</t>
        </is>
      </c>
      <c r="AC719" s="1" t="inlineStr">
        <is>
          <t>Фантастика. Мистика. Ужасы</t>
        </is>
      </c>
      <c r="AD719" s="1" t="inlineStr">
        <is>
          <t>Фэнтези</t>
        </is>
      </c>
      <c r="AE719" s="1" t="inlineStr">
        <is>
          <t>офсетная</t>
        </is>
      </c>
      <c r="AG719" s="1" t="n">
        <v>11067770</v>
      </c>
      <c r="AI719" s="1" t="inlineStr">
        <is>
          <t>4901990000</t>
        </is>
      </c>
    </row>
    <row r="720" customFormat="1" s="1">
      <c r="C720" s="1" t="inlineStr">
        <is>
          <t xml:space="preserve">10236550            </t>
        </is>
      </c>
      <c r="D720" s="1" t="inlineStr">
        <is>
          <t>Корни и соль</t>
        </is>
      </c>
      <c r="E720" s="1" t="inlineStr">
        <is>
          <t>Чернила под кожей. Салливан Д.</t>
        </is>
      </c>
      <c r="F720" s="13" t="inlineStr">
        <is>
          <t>См.обл.</t>
        </is>
      </c>
      <c r="G720" s="1" t="inlineStr">
        <is>
          <t>Салливан Д.</t>
        </is>
      </c>
      <c r="H720" s="1" t="inlineStr">
        <is>
          <t>70х90/16</t>
        </is>
      </c>
      <c r="I720" s="1" t="n">
        <v>240</v>
      </c>
      <c r="J720" s="1" t="inlineStr">
        <is>
          <t>РИПОЛ Классик</t>
        </is>
      </c>
      <c r="M720" s="1" t="inlineStr">
        <is>
          <t>2022</t>
        </is>
      </c>
      <c r="N720" s="1" t="inlineStr">
        <is>
          <t>П</t>
        </is>
      </c>
      <c r="O720" s="9" t="n">
        <v>7</v>
      </c>
      <c r="P720" s="1">
        <f>ROUNDUP(1500*(1-$F$3),2)</f>
        <v/>
      </c>
      <c r="Q720" s="1" t="inlineStr">
        <is>
          <t> </t>
        </is>
      </c>
      <c r="R720" s="1" t="inlineStr">
        <is>
          <t>978-5-386-14662-7</t>
        </is>
      </c>
      <c r="S720" s="1" t="inlineStr">
        <is>
          <t>9785386146627</t>
        </is>
      </c>
      <c r="T720" s="9" t="n">
        <v>22</v>
      </c>
      <c r="U720" s="1">
        <f>ROUNDUP(1229.51*(1-$F$3),2)</f>
        <v/>
      </c>
      <c r="V720" s="1" t="n">
        <v>537</v>
      </c>
      <c r="Y720" s="1" t="inlineStr">
        <is>
          <t>Чернила под кожей</t>
        </is>
      </c>
      <c r="Z720" s="1" t="inlineStr">
        <is>
          <t>18+</t>
        </is>
      </c>
      <c r="AA720" s="12" t="n">
        <v>44603</v>
      </c>
      <c r="AB720" s="1" t="inlineStr">
        <is>
          <t>Художественная литература</t>
        </is>
      </c>
      <c r="AC720" s="1" t="inlineStr">
        <is>
          <t>Зарубежная литература</t>
        </is>
      </c>
      <c r="AD720" s="1" t="inlineStr">
        <is>
          <t>Литература Америки и Австралии</t>
        </is>
      </c>
      <c r="AE720" s="1" t="inlineStr">
        <is>
          <t>офсетная</t>
        </is>
      </c>
      <c r="AG720" s="1" t="n">
        <v>10236550</v>
      </c>
      <c r="AI720" s="1" t="inlineStr">
        <is>
          <t>4901990000</t>
        </is>
      </c>
      <c r="AJ720" s="1" t="inlineStr">
        <is>
          <t>Зпв</t>
        </is>
      </c>
    </row>
    <row r="721" customFormat="1" s="1">
      <c r="C721" s="1" t="inlineStr">
        <is>
          <t xml:space="preserve">8018040             </t>
        </is>
      </c>
      <c r="D721" s="1" t="inlineStr">
        <is>
          <t>Кофе с мудрецами</t>
        </is>
      </c>
      <c r="E721" s="1" t="inlineStr">
        <is>
          <t>Заметки о делах политических и гражданских. Гвиччардини Ф.</t>
        </is>
      </c>
      <c r="F721" s="13" t="inlineStr">
        <is>
          <t>См.обл.</t>
        </is>
      </c>
      <c r="G721" s="1" t="inlineStr">
        <is>
          <t>Гвиччардини Ф.</t>
        </is>
      </c>
      <c r="H721" s="1" t="inlineStr">
        <is>
          <t>80х100/32</t>
        </is>
      </c>
      <c r="I721" s="1" t="n">
        <v>240</v>
      </c>
      <c r="J721" s="1" t="inlineStr">
        <is>
          <t>РИПОЛ Классик</t>
        </is>
      </c>
      <c r="M721" s="1" t="inlineStr">
        <is>
          <t>2017</t>
        </is>
      </c>
      <c r="N721" s="1" t="inlineStr">
        <is>
          <t>О</t>
        </is>
      </c>
      <c r="O721" s="9" t="n">
        <v>20</v>
      </c>
      <c r="P721" s="1">
        <f>ROUNDUP(735.7*(1-$F$3),2)</f>
        <v/>
      </c>
      <c r="Q721" s="1" t="inlineStr">
        <is>
          <t> </t>
        </is>
      </c>
      <c r="R721" s="1" t="inlineStr">
        <is>
          <t>978-5-386-09863-6</t>
        </is>
      </c>
      <c r="S721" s="1" t="inlineStr">
        <is>
          <t>9785386098636</t>
        </is>
      </c>
      <c r="T721" s="9" t="n">
        <v>10</v>
      </c>
      <c r="U721" s="1">
        <f>ROUNDUP(668.82*(1-$F$3),2)</f>
        <v/>
      </c>
      <c r="V721" s="1" t="n">
        <v>221</v>
      </c>
      <c r="Y721" s="1" t="inlineStr">
        <is>
          <t>Заметки о делах политических и гражданских</t>
        </is>
      </c>
      <c r="Z721" s="1" t="inlineStr">
        <is>
          <t>16+</t>
        </is>
      </c>
      <c r="AA721" s="12" t="n">
        <v>42769</v>
      </c>
      <c r="AB721" s="1" t="inlineStr">
        <is>
          <t>Общественные науки</t>
        </is>
      </c>
      <c r="AC721" s="1" t="inlineStr">
        <is>
          <t>Политика</t>
        </is>
      </c>
      <c r="AD721" s="1" t="inlineStr">
        <is>
          <t>История политической мысли</t>
        </is>
      </c>
      <c r="AE721" s="1" t="inlineStr">
        <is>
          <t> </t>
        </is>
      </c>
      <c r="AG721" s="1" t="n">
        <v>8018040</v>
      </c>
      <c r="AI721" s="1" t="inlineStr">
        <is>
          <t>4901990000</t>
        </is>
      </c>
    </row>
    <row r="722" customFormat="1" s="1">
      <c r="C722" s="1" t="inlineStr">
        <is>
          <t xml:space="preserve">8345160             </t>
        </is>
      </c>
      <c r="D722" s="1" t="inlineStr">
        <is>
          <t>Кофе с мудрецами</t>
        </is>
      </c>
      <c r="E722" s="1" t="inlineStr">
        <is>
          <t>Похвала глупости. Эразм Роттердамский</t>
        </is>
      </c>
      <c r="F722" s="13" t="inlineStr">
        <is>
          <t>См.обл.</t>
        </is>
      </c>
      <c r="G722" s="1" t="inlineStr">
        <is>
          <t>Эразм Роттердамский</t>
        </is>
      </c>
      <c r="H722" s="1" t="inlineStr">
        <is>
          <t>80х100/32</t>
        </is>
      </c>
      <c r="I722" s="1" t="n">
        <v>320</v>
      </c>
      <c r="J722" s="1" t="inlineStr">
        <is>
          <t>РИПОЛ Классик</t>
        </is>
      </c>
      <c r="M722" s="1" t="inlineStr">
        <is>
          <t>2026</t>
        </is>
      </c>
      <c r="N722" s="1" t="inlineStr">
        <is>
          <t>О</t>
        </is>
      </c>
      <c r="O722" s="9" t="n">
        <v>12</v>
      </c>
      <c r="P722" s="1">
        <f>ROUNDUP(903.7*(1-$F$3),2)</f>
        <v/>
      </c>
      <c r="Q722" s="1" t="inlineStr">
        <is>
          <t> </t>
        </is>
      </c>
      <c r="R722" s="1" t="inlineStr">
        <is>
          <t>978-5-386-10196-1</t>
        </is>
      </c>
      <c r="S722" s="1" t="inlineStr">
        <is>
          <t>9785386101961</t>
        </is>
      </c>
      <c r="T722" s="9" t="n">
        <v>10</v>
      </c>
      <c r="U722" s="1">
        <f>ROUNDUP(821.55*(1-$F$3),2)</f>
        <v/>
      </c>
      <c r="V722" s="1" t="n">
        <v>214</v>
      </c>
      <c r="Y722" s="1" t="inlineStr">
        <is>
          <t>Похвала глупости</t>
        </is>
      </c>
      <c r="Z722" s="1" t="inlineStr">
        <is>
          <t>6 +</t>
        </is>
      </c>
      <c r="AA722" s="12" t="n">
        <v>43019</v>
      </c>
      <c r="AB722" s="1" t="inlineStr">
        <is>
          <t>Художественная литература</t>
        </is>
      </c>
      <c r="AC722" s="1" t="inlineStr">
        <is>
          <t>Зарубежная литература</t>
        </is>
      </c>
      <c r="AD722" s="1" t="inlineStr">
        <is>
          <t>Европейская литература</t>
        </is>
      </c>
      <c r="AE722" s="1" t="inlineStr">
        <is>
          <t>офсетная</t>
        </is>
      </c>
      <c r="AG722" s="1" t="n">
        <v>8345160</v>
      </c>
      <c r="AI722" s="1" t="inlineStr">
        <is>
          <t>4901990000</t>
        </is>
      </c>
    </row>
    <row r="723" customFormat="1" s="1">
      <c r="C723" s="1" t="inlineStr">
        <is>
          <t xml:space="preserve">9735160             </t>
        </is>
      </c>
      <c r="D723" s="1" t="inlineStr">
        <is>
          <t>Красивые вещи</t>
        </is>
      </c>
      <c r="E723" s="1" t="inlineStr">
        <is>
          <t>Жар предательства. Кеннеди Д.</t>
        </is>
      </c>
      <c r="F723" s="13" t="inlineStr">
        <is>
          <t>См.обл.</t>
        </is>
      </c>
      <c r="G723" s="1" t="inlineStr">
        <is>
          <t>Кеннеди Д.</t>
        </is>
      </c>
      <c r="H723" s="1" t="inlineStr">
        <is>
          <t>84х100/32</t>
        </is>
      </c>
      <c r="I723" s="1" t="n">
        <v>448</v>
      </c>
      <c r="J723" s="1" t="inlineStr">
        <is>
          <t>РИПОЛ Классик</t>
        </is>
      </c>
      <c r="M723" s="1" t="inlineStr">
        <is>
          <t>2021</t>
        </is>
      </c>
      <c r="N723" s="1" t="inlineStr">
        <is>
          <t>П</t>
        </is>
      </c>
      <c r="O723" s="9" t="n">
        <v>8</v>
      </c>
      <c r="P723" s="1">
        <f>ROUNDUP(1240*(1-$F$3),2)</f>
        <v/>
      </c>
      <c r="Q723" s="1" t="inlineStr">
        <is>
          <t> </t>
        </is>
      </c>
      <c r="R723" s="1" t="inlineStr">
        <is>
          <t>978-5-386-14253-7</t>
        </is>
      </c>
      <c r="S723" s="1" t="inlineStr">
        <is>
          <t>9785386142537</t>
        </is>
      </c>
      <c r="T723" s="9" t="n">
        <v>10</v>
      </c>
      <c r="U723" s="1">
        <f>ROUNDUP(1127.27*(1-$F$3),2)</f>
        <v/>
      </c>
      <c r="V723" s="1" t="n">
        <v>466</v>
      </c>
      <c r="Y723" s="1" t="inlineStr">
        <is>
          <t>Жар предательства</t>
        </is>
      </c>
      <c r="Z723" s="1" t="inlineStr">
        <is>
          <t>16+</t>
        </is>
      </c>
      <c r="AA723" s="12" t="n">
        <v>44417</v>
      </c>
      <c r="AB723" s="1" t="inlineStr">
        <is>
          <t>Художественная литература</t>
        </is>
      </c>
      <c r="AC723" s="1" t="inlineStr">
        <is>
          <t>Детективы. Боевики. Триллеры</t>
        </is>
      </c>
      <c r="AD723" s="1" t="inlineStr">
        <is>
          <t>Зарубежный детектив</t>
        </is>
      </c>
      <c r="AE723" s="1" t="inlineStr">
        <is>
          <t>офсетная</t>
        </is>
      </c>
      <c r="AG723" s="1" t="n">
        <v>9735160</v>
      </c>
      <c r="AI723" s="1" t="inlineStr">
        <is>
          <t>4901990000</t>
        </is>
      </c>
      <c r="AJ723" s="1" t="inlineStr">
        <is>
          <t>Зпв</t>
        </is>
      </c>
    </row>
    <row r="724" customFormat="1" s="1">
      <c r="C724" s="1" t="inlineStr">
        <is>
          <t xml:space="preserve">10169380            </t>
        </is>
      </c>
      <c r="D724" s="1" t="inlineStr">
        <is>
          <t>Красивые вещи</t>
        </is>
      </c>
      <c r="E724" s="1" t="inlineStr">
        <is>
          <t>Ничего кроме нас. История семейных тайн. Кеннеди Д.</t>
        </is>
      </c>
      <c r="F724" s="13" t="inlineStr">
        <is>
          <t>См.обл.</t>
        </is>
      </c>
      <c r="G724" s="1" t="inlineStr">
        <is>
          <t>Кеннеди Д.</t>
        </is>
      </c>
      <c r="H724" s="1" t="inlineStr">
        <is>
          <t>60х90/16</t>
        </is>
      </c>
      <c r="I724" s="1" t="n">
        <v>640</v>
      </c>
      <c r="J724" s="1" t="inlineStr">
        <is>
          <t>РИПОЛ Классик</t>
        </is>
      </c>
      <c r="M724" s="1" t="inlineStr">
        <is>
          <t>2022</t>
        </is>
      </c>
      <c r="N724" s="1" t="inlineStr">
        <is>
          <t>П</t>
        </is>
      </c>
      <c r="O724" s="9" t="n">
        <v>6</v>
      </c>
      <c r="P724" s="1">
        <f>ROUNDUP(1750*(1-$F$3),2)</f>
        <v/>
      </c>
      <c r="Q724" s="1" t="inlineStr">
        <is>
          <t> </t>
        </is>
      </c>
      <c r="R724" s="1" t="inlineStr">
        <is>
          <t>978-5-386-14626-9</t>
        </is>
      </c>
      <c r="S724" s="1" t="inlineStr">
        <is>
          <t>9785386146269</t>
        </is>
      </c>
      <c r="T724" s="9" t="n">
        <v>10</v>
      </c>
      <c r="U724" s="1">
        <f>ROUNDUP(1590.91*(1-$F$3),2)</f>
        <v/>
      </c>
      <c r="V724" s="1" t="n">
        <v>742</v>
      </c>
      <c r="Y724" s="1" t="inlineStr">
        <is>
          <t>Ничего кроме нас. История семейных тайн</t>
        </is>
      </c>
      <c r="Z724" s="1" t="inlineStr">
        <is>
          <t>16+</t>
        </is>
      </c>
      <c r="AA724" s="12" t="n">
        <v>44606</v>
      </c>
      <c r="AB724" s="1" t="inlineStr">
        <is>
          <t>Художественная литература</t>
        </is>
      </c>
      <c r="AC724" s="1" t="inlineStr">
        <is>
          <t>Зарубежная литература</t>
        </is>
      </c>
      <c r="AD724" s="1" t="inlineStr">
        <is>
          <t>Литература Америки и Австралии</t>
        </is>
      </c>
      <c r="AE724" s="1" t="inlineStr">
        <is>
          <t>офсетная</t>
        </is>
      </c>
      <c r="AG724" s="1" t="n">
        <v>10169380</v>
      </c>
      <c r="AI724" s="1" t="inlineStr">
        <is>
          <t>4901990000</t>
        </is>
      </c>
      <c r="AJ724" s="1" t="inlineStr">
        <is>
          <t>Зпв</t>
        </is>
      </c>
    </row>
    <row r="725" customFormat="1" s="1">
      <c r="C725" s="1" t="inlineStr">
        <is>
          <t xml:space="preserve">9837290             </t>
        </is>
      </c>
      <c r="D725" s="1" t="inlineStr">
        <is>
          <t>Красивые вещи</t>
        </is>
      </c>
      <c r="E725" s="1" t="inlineStr">
        <is>
          <t>Особые отношения. Кеннеди Д.</t>
        </is>
      </c>
      <c r="F725" s="13" t="inlineStr">
        <is>
          <t>См.обл.</t>
        </is>
      </c>
      <c r="G725" s="1" t="inlineStr">
        <is>
          <t>Кеннеди Д.</t>
        </is>
      </c>
      <c r="H725" s="1" t="inlineStr">
        <is>
          <t>84х108/32</t>
        </is>
      </c>
      <c r="I725" s="1" t="n">
        <v>624</v>
      </c>
      <c r="J725" s="1" t="inlineStr">
        <is>
          <t>РИПОЛ Классик</t>
        </is>
      </c>
      <c r="M725" s="1" t="inlineStr">
        <is>
          <t>2021</t>
        </is>
      </c>
      <c r="N725" s="1" t="inlineStr">
        <is>
          <t>П</t>
        </is>
      </c>
      <c r="O725" s="9" t="n">
        <v>6</v>
      </c>
      <c r="P725" s="1">
        <f>ROUNDUP(1180*(1-$F$3),2)</f>
        <v/>
      </c>
      <c r="Q725" s="1" t="inlineStr">
        <is>
          <t> </t>
        </is>
      </c>
      <c r="R725" s="1" t="inlineStr">
        <is>
          <t>978-5-386-14515-6</t>
        </is>
      </c>
      <c r="S725" s="1" t="inlineStr">
        <is>
          <t>9785386145156</t>
        </is>
      </c>
      <c r="T725" s="9" t="n">
        <v>10</v>
      </c>
      <c r="U725" s="1">
        <f>ROUNDUP(1072.73*(1-$F$3),2)</f>
        <v/>
      </c>
      <c r="V725" s="1" t="n">
        <v>613</v>
      </c>
      <c r="Y725" s="1" t="inlineStr">
        <is>
          <t>Особые отношения</t>
        </is>
      </c>
      <c r="Z725" s="1" t="inlineStr">
        <is>
          <t>16+</t>
        </is>
      </c>
      <c r="AA725" s="12" t="n">
        <v>44493</v>
      </c>
      <c r="AB725" s="1" t="inlineStr">
        <is>
          <t>Художественная литература</t>
        </is>
      </c>
      <c r="AC725" s="1" t="inlineStr">
        <is>
          <t>Сентиментальная проза</t>
        </is>
      </c>
      <c r="AD725" s="1" t="inlineStr">
        <is>
          <t>Зарубежный сентиментальный роман</t>
        </is>
      </c>
      <c r="AE725" s="1" t="inlineStr">
        <is>
          <t>офсетная</t>
        </is>
      </c>
      <c r="AG725" s="1" t="n">
        <v>9837290</v>
      </c>
      <c r="AI725" s="1" t="inlineStr">
        <is>
          <t>4901990000</t>
        </is>
      </c>
      <c r="AJ725" s="1" t="inlineStr">
        <is>
          <t>Зпв</t>
        </is>
      </c>
    </row>
    <row r="726" customFormat="1" s="1">
      <c r="C726" s="1" t="inlineStr">
        <is>
          <t xml:space="preserve">9972770             </t>
        </is>
      </c>
      <c r="D726" s="1" t="inlineStr">
        <is>
          <t>Красивые вещи</t>
        </is>
      </c>
      <c r="E726" s="1" t="inlineStr">
        <is>
          <t>Послеполуденная Изабель. Кеннеди Д.</t>
        </is>
      </c>
      <c r="F726" s="13" t="inlineStr">
        <is>
          <t>См.обл.</t>
        </is>
      </c>
      <c r="G726" s="1" t="inlineStr">
        <is>
          <t>Кеннеди Д.</t>
        </is>
      </c>
      <c r="H726" s="1" t="inlineStr">
        <is>
          <t>60х90/16</t>
        </is>
      </c>
      <c r="I726" s="1" t="n">
        <v>352</v>
      </c>
      <c r="J726" s="1" t="inlineStr">
        <is>
          <t>РИПОЛ Классик</t>
        </is>
      </c>
      <c r="M726" s="1" t="inlineStr">
        <is>
          <t>2022</t>
        </is>
      </c>
      <c r="N726" s="1" t="inlineStr">
        <is>
          <t>П</t>
        </is>
      </c>
      <c r="O726" s="9" t="n">
        <v>10</v>
      </c>
      <c r="P726" s="1">
        <f>ROUNDUP(1100*(1-$F$3),2)</f>
        <v/>
      </c>
      <c r="Q726" s="1" t="inlineStr">
        <is>
          <t> </t>
        </is>
      </c>
      <c r="R726" s="1" t="inlineStr">
        <is>
          <t>978-5-386-14541-5</t>
        </is>
      </c>
      <c r="S726" s="1" t="inlineStr">
        <is>
          <t>9785386145415</t>
        </is>
      </c>
      <c r="T726" s="9" t="n">
        <v>10</v>
      </c>
      <c r="U726" s="1">
        <f>ROUNDUP(1000*(1-$F$3),2)</f>
        <v/>
      </c>
      <c r="V726" s="1" t="n">
        <v>508</v>
      </c>
      <c r="Y726" s="1" t="inlineStr">
        <is>
          <t>Послеполуденная Изабель</t>
        </is>
      </c>
      <c r="Z726" s="1" t="inlineStr">
        <is>
          <t>16+</t>
        </is>
      </c>
      <c r="AA726" s="12" t="n">
        <v>44503</v>
      </c>
      <c r="AB726" s="1" t="inlineStr">
        <is>
          <t>Художественная литература</t>
        </is>
      </c>
      <c r="AC726" s="1" t="inlineStr">
        <is>
          <t>Сентиментальная проза</t>
        </is>
      </c>
      <c r="AD726" s="1" t="inlineStr">
        <is>
          <t>Зарубежный сентиментальный роман</t>
        </is>
      </c>
      <c r="AE726" s="1" t="inlineStr">
        <is>
          <t>офсетная</t>
        </is>
      </c>
      <c r="AG726" s="1" t="n">
        <v>9972770</v>
      </c>
      <c r="AI726" s="1" t="inlineStr">
        <is>
          <t>4901990000</t>
        </is>
      </c>
      <c r="AJ726" s="1" t="inlineStr">
        <is>
          <t>Зпв</t>
        </is>
      </c>
    </row>
    <row r="727" customFormat="1" s="1">
      <c r="C727" s="1" t="inlineStr">
        <is>
          <t xml:space="preserve">9252400             </t>
        </is>
      </c>
      <c r="D727" s="1" t="inlineStr">
        <is>
          <t>Краткий путеводитель в рисунках Сергея Чобана</t>
        </is>
      </c>
      <c r="E727" s="1" t="inlineStr">
        <is>
          <t>Три дня в Москве. Краткий путеводитель в рисунках. Мартовицкая А., Чобан С.</t>
        </is>
      </c>
      <c r="F727" s="13" t="inlineStr">
        <is>
          <t>См.обл.</t>
        </is>
      </c>
      <c r="G727" s="1" t="inlineStr">
        <is>
          <t>Мартовицкая А., Чобан С.</t>
        </is>
      </c>
      <c r="H727" s="1" t="inlineStr">
        <is>
          <t>60х90/32</t>
        </is>
      </c>
      <c r="I727" s="1" t="n">
        <v>160</v>
      </c>
      <c r="J727" s="1" t="inlineStr">
        <is>
          <t>РИПОЛ Классик</t>
        </is>
      </c>
      <c r="M727" s="1" t="inlineStr">
        <is>
          <t>2020</t>
        </is>
      </c>
      <c r="N727" s="1" t="inlineStr">
        <is>
          <t>О</t>
        </is>
      </c>
      <c r="O727" s="9" t="n">
        <v>18</v>
      </c>
      <c r="P727" s="1">
        <f>ROUNDUP(520*(1-$F$3),2)</f>
        <v/>
      </c>
      <c r="Q727" s="1" t="inlineStr">
        <is>
          <t> </t>
        </is>
      </c>
      <c r="R727" s="1" t="inlineStr">
        <is>
          <t>978-5-386-13549-2</t>
        </is>
      </c>
      <c r="S727" s="1" t="inlineStr">
        <is>
          <t>9785386135492</t>
        </is>
      </c>
      <c r="T727" s="9" t="n">
        <v>10</v>
      </c>
      <c r="U727" s="1">
        <f>ROUNDUP(472.73*(1-$F$3),2)</f>
        <v/>
      </c>
      <c r="V727" s="1" t="n">
        <v>155</v>
      </c>
      <c r="Y727" s="1" t="inlineStr">
        <is>
          <t>Три дня в Москве. Краткий путеводитель в рисунках</t>
        </is>
      </c>
      <c r="Z727" s="1" t="inlineStr">
        <is>
          <t>12+</t>
        </is>
      </c>
      <c r="AA727" s="12" t="n">
        <v>43803</v>
      </c>
      <c r="AB727" s="1" t="inlineStr">
        <is>
          <t>Дом. Быт. Досуг</t>
        </is>
      </c>
      <c r="AC727" s="1" t="inlineStr">
        <is>
          <t>Хобби. Отдых. Праздники</t>
        </is>
      </c>
      <c r="AD727" s="1" t="inlineStr">
        <is>
          <t>Путешествия. Туризм. Путеводители</t>
        </is>
      </c>
      <c r="AE727" s="1" t="inlineStr">
        <is>
          <t>мелованная</t>
        </is>
      </c>
      <c r="AG727" s="1" t="n">
        <v>9252400</v>
      </c>
      <c r="AI727" s="1" t="inlineStr">
        <is>
          <t>4901990000</t>
        </is>
      </c>
    </row>
    <row r="728" customFormat="1" s="1">
      <c r="C728" s="1" t="inlineStr">
        <is>
          <t xml:space="preserve">8727950             </t>
        </is>
      </c>
      <c r="D728" s="1" t="inlineStr">
        <is>
          <t>Краткий путеводитель в рисунках Сергея Чобана</t>
        </is>
      </c>
      <c r="E728" s="1" t="inlineStr">
        <is>
          <t>Три дня в Праге. Краткий путеводитель в рисунках. Мартовицкая А., Чобан С.</t>
        </is>
      </c>
      <c r="F728" s="13" t="inlineStr">
        <is>
          <t>См.обл.</t>
        </is>
      </c>
      <c r="G728" s="1" t="inlineStr">
        <is>
          <t>Мартовицкая А., Чобан С.</t>
        </is>
      </c>
      <c r="H728" s="1" t="inlineStr">
        <is>
          <t>60х90/32</t>
        </is>
      </c>
      <c r="I728" s="1" t="n">
        <v>144</v>
      </c>
      <c r="J728" s="1" t="inlineStr">
        <is>
          <t>РИПОЛ Классик</t>
        </is>
      </c>
      <c r="M728" s="1" t="inlineStr">
        <is>
          <t>2019</t>
        </is>
      </c>
      <c r="N728" s="1" t="inlineStr">
        <is>
          <t>О</t>
        </is>
      </c>
      <c r="O728" s="9" t="n">
        <v>30</v>
      </c>
      <c r="P728" s="1">
        <f>ROUNDUP(520*(1-$F$3),2)</f>
        <v/>
      </c>
      <c r="Q728" s="1" t="inlineStr">
        <is>
          <t> </t>
        </is>
      </c>
      <c r="R728" s="1" t="inlineStr">
        <is>
          <t>978-5-386-10672-0</t>
        </is>
      </c>
      <c r="S728" s="1" t="inlineStr">
        <is>
          <t>9785386106720</t>
        </is>
      </c>
      <c r="T728" s="9" t="n">
        <v>10</v>
      </c>
      <c r="U728" s="1">
        <f>ROUNDUP(472.73*(1-$F$3),2)</f>
        <v/>
      </c>
      <c r="V728" s="1" t="n">
        <v>134</v>
      </c>
      <c r="Y728" s="1" t="inlineStr">
        <is>
          <t>Три дня в Праге. Краткий путеводитель в рисунках</t>
        </is>
      </c>
      <c r="Z728" s="1" t="inlineStr">
        <is>
          <t>6 +</t>
        </is>
      </c>
      <c r="AA728" s="12" t="n">
        <v>43356</v>
      </c>
      <c r="AB728" s="1" t="inlineStr">
        <is>
          <t>Искусство</t>
        </is>
      </c>
      <c r="AC728" s="1" t="inlineStr">
        <is>
          <t>Изобразительное искусство. Архитектура</t>
        </is>
      </c>
      <c r="AD728" s="1" t="inlineStr">
        <is>
          <t>Архитектура</t>
        </is>
      </c>
      <c r="AE728" s="1" t="inlineStr">
        <is>
          <t>мелованная</t>
        </is>
      </c>
      <c r="AG728" s="1" t="n">
        <v>8727950</v>
      </c>
      <c r="AI728" s="1" t="inlineStr">
        <is>
          <t>4901990000</t>
        </is>
      </c>
    </row>
    <row r="729" customFormat="1" s="1">
      <c r="C729" s="1" t="inlineStr">
        <is>
          <t xml:space="preserve">10777990            </t>
        </is>
      </c>
      <c r="D729" s="1" t="inlineStr">
        <is>
          <t>Кризис и Власть</t>
        </is>
      </c>
      <c r="E729" s="1" t="inlineStr">
        <is>
          <t>Кризис и Власть. Т. 1: Лестница в небо. 2-е изд., доп. и испр. Хазин М.Л., Щеглов С.И.</t>
        </is>
      </c>
      <c r="F729" s="13" t="inlineStr">
        <is>
          <t>См.обл.</t>
        </is>
      </c>
      <c r="G729" s="1" t="inlineStr">
        <is>
          <t>Хазин М.Л., Щеглов С.И.</t>
        </is>
      </c>
      <c r="H729" s="1" t="inlineStr">
        <is>
          <t>70х100/16</t>
        </is>
      </c>
      <c r="I729" s="1" t="n">
        <v>544</v>
      </c>
      <c r="J729" s="1" t="inlineStr">
        <is>
          <t>РИПОЛ Классик</t>
        </is>
      </c>
      <c r="M729" s="1" t="inlineStr">
        <is>
          <t>2026</t>
        </is>
      </c>
      <c r="N729" s="1" t="inlineStr">
        <is>
          <t>П</t>
        </is>
      </c>
      <c r="O729" s="9" t="n">
        <v>5</v>
      </c>
      <c r="P729" s="1">
        <f>ROUNDUP(1890*(1-$F$3),2)</f>
        <v/>
      </c>
      <c r="Q729" s="1" t="inlineStr">
        <is>
          <t> </t>
        </is>
      </c>
      <c r="R729" s="1" t="inlineStr">
        <is>
          <t>978-5-386-14981-9</t>
        </is>
      </c>
      <c r="S729" s="1" t="inlineStr">
        <is>
          <t>9785386149819</t>
        </is>
      </c>
      <c r="T729" s="9" t="n">
        <v>10</v>
      </c>
      <c r="U729" s="1">
        <f>ROUNDUP(1718.18*(1-$F$3),2)</f>
        <v/>
      </c>
      <c r="V729" s="1" t="n">
        <v>852</v>
      </c>
      <c r="Y729" s="1" t="inlineStr">
        <is>
          <t>Кризис и Власть. Т. 1: Лестница в небо. 2-е изд., доп. и испр</t>
        </is>
      </c>
      <c r="Z729" s="1" t="inlineStr">
        <is>
          <t>16+</t>
        </is>
      </c>
      <c r="AA729" s="12" t="n">
        <v>44955</v>
      </c>
      <c r="AB729" s="1" t="inlineStr">
        <is>
          <t>Общественные науки</t>
        </is>
      </c>
      <c r="AC729" s="1" t="inlineStr">
        <is>
          <t>Политика</t>
        </is>
      </c>
      <c r="AD729" s="1" t="inlineStr">
        <is>
          <t>Государственное управление. Власть</t>
        </is>
      </c>
      <c r="AE729" s="1" t="inlineStr">
        <is>
          <t>офсетная</t>
        </is>
      </c>
      <c r="AG729" s="1" t="n">
        <v>10777990</v>
      </c>
      <c r="AI729" s="1" t="inlineStr">
        <is>
          <t>4901990000</t>
        </is>
      </c>
    </row>
    <row r="730" customFormat="1" s="1">
      <c r="C730" s="1" t="inlineStr">
        <is>
          <t xml:space="preserve">10777970            </t>
        </is>
      </c>
      <c r="D730" s="1" t="inlineStr">
        <is>
          <t>Кризис и Власть</t>
        </is>
      </c>
      <c r="E730" s="1" t="inlineStr">
        <is>
          <t>Кризис и Власть. Т. 2: Люди Власти. Диалоги о великих сюзеренах и властных группировках. Хазин М.Л., Щеглов С.И.</t>
        </is>
      </c>
      <c r="F730" s="13" t="inlineStr">
        <is>
          <t>См.обл.</t>
        </is>
      </c>
      <c r="G730" s="1" t="inlineStr">
        <is>
          <t>Хазин М.Л., Щеглов С.И.</t>
        </is>
      </c>
      <c r="H730" s="1" t="inlineStr">
        <is>
          <t>70х100/16</t>
        </is>
      </c>
      <c r="I730" s="1" t="n">
        <v>528</v>
      </c>
      <c r="J730" s="1" t="inlineStr">
        <is>
          <t>РИПОЛ Классик</t>
        </is>
      </c>
      <c r="M730" s="1" t="inlineStr">
        <is>
          <t>2023</t>
        </is>
      </c>
      <c r="N730" s="1" t="inlineStr">
        <is>
          <t>П</t>
        </is>
      </c>
      <c r="O730" s="9" t="n">
        <v>6</v>
      </c>
      <c r="P730" s="1">
        <f>ROUNDUP(1830*(1-$F$3),2)</f>
        <v/>
      </c>
      <c r="Q730" s="1" t="inlineStr">
        <is>
          <t> </t>
        </is>
      </c>
      <c r="R730" s="1" t="inlineStr">
        <is>
          <t>978-5-386-14975-8</t>
        </is>
      </c>
      <c r="S730" s="1" t="inlineStr">
        <is>
          <t>9785386149758</t>
        </is>
      </c>
      <c r="T730" s="9" t="n">
        <v>10</v>
      </c>
      <c r="U730" s="1">
        <f>ROUNDUP(1663.64*(1-$F$3),2)</f>
        <v/>
      </c>
      <c r="V730" s="1" t="n">
        <v>873</v>
      </c>
      <c r="Y730" s="1" t="inlineStr">
        <is>
          <t>Кризис и Власть. Т. 2: Люди Власти. Диалоги о великих сюзеренах и властных группировках</t>
        </is>
      </c>
      <c r="Z730" s="1" t="inlineStr">
        <is>
          <t>16+</t>
        </is>
      </c>
      <c r="AA730" s="12" t="n">
        <v>44968</v>
      </c>
      <c r="AB730" s="1" t="inlineStr">
        <is>
          <t>Общественные науки</t>
        </is>
      </c>
      <c r="AC730" s="1" t="inlineStr">
        <is>
          <t>Политика</t>
        </is>
      </c>
      <c r="AD730" s="1" t="inlineStr">
        <is>
          <t>Государственное управление. Власть</t>
        </is>
      </c>
      <c r="AE730" s="1" t="inlineStr">
        <is>
          <t>офсетная</t>
        </is>
      </c>
      <c r="AG730" s="1" t="n">
        <v>10777970</v>
      </c>
      <c r="AI730" s="1" t="inlineStr">
        <is>
          <t>4901990000</t>
        </is>
      </c>
    </row>
    <row r="731" customFormat="1" s="1">
      <c r="C731" s="1" t="inlineStr">
        <is>
          <t xml:space="preserve">8470160             </t>
        </is>
      </c>
      <c r="D731" s="1" t="inlineStr">
        <is>
          <t>Лапа друга</t>
        </is>
      </c>
      <c r="E731" s="1" t="inlineStr">
        <is>
          <t>Уличный кот по имени Боб. Как человек и кот обрели надежду на улицах Лондона. Боуэн Дж.</t>
        </is>
      </c>
      <c r="F731" s="13" t="inlineStr">
        <is>
          <t>См.обл.</t>
        </is>
      </c>
      <c r="G731" s="1" t="inlineStr">
        <is>
          <t>Боуэн Дж.</t>
        </is>
      </c>
      <c r="H731" s="1" t="inlineStr">
        <is>
          <t>84х108/32</t>
        </is>
      </c>
      <c r="I731" s="1" t="n">
        <v>384</v>
      </c>
      <c r="J731" s="1" t="inlineStr">
        <is>
          <t>РИПОЛ Классик</t>
        </is>
      </c>
      <c r="M731" s="1" t="inlineStr">
        <is>
          <t>2025</t>
        </is>
      </c>
      <c r="N731" s="1" t="inlineStr">
        <is>
          <t>П</t>
        </is>
      </c>
      <c r="O731" s="9" t="n">
        <v>6</v>
      </c>
      <c r="P731" s="1">
        <f>ROUNDUP(930*(1-$F$3),2)</f>
        <v/>
      </c>
      <c r="Q731" s="1" t="inlineStr">
        <is>
          <t> </t>
        </is>
      </c>
      <c r="R731" s="1" t="inlineStr">
        <is>
          <t>978-5-386-10638-6</t>
        </is>
      </c>
      <c r="S731" s="1" t="inlineStr">
        <is>
          <t>9785386106386</t>
        </is>
      </c>
      <c r="T731" s="9" t="n">
        <v>10</v>
      </c>
      <c r="U731" s="1">
        <f>ROUNDUP(845.45*(1-$F$3),2)</f>
        <v/>
      </c>
      <c r="V731" s="1" t="n">
        <v>385</v>
      </c>
      <c r="Y731" s="1" t="inlineStr">
        <is>
          <t>Уличный кот по имени Боб. Как человек и кот обрели надежду на улицах Лондона</t>
        </is>
      </c>
      <c r="Z731" s="1" t="inlineStr">
        <is>
          <t>16+</t>
        </is>
      </c>
      <c r="AA731" s="12" t="n">
        <v>43150</v>
      </c>
      <c r="AB731" s="1" t="inlineStr">
        <is>
          <t>Художественная литература</t>
        </is>
      </c>
      <c r="AC731" s="1" t="inlineStr">
        <is>
          <t>Зарубежная литература</t>
        </is>
      </c>
      <c r="AD731" s="1" t="inlineStr">
        <is>
          <t>Европейская литература</t>
        </is>
      </c>
      <c r="AE731" s="1" t="inlineStr">
        <is>
          <t>офсетная</t>
        </is>
      </c>
      <c r="AG731" s="1" t="n">
        <v>8470160</v>
      </c>
      <c r="AI731" s="1" t="inlineStr">
        <is>
          <t>4901990000</t>
        </is>
      </c>
      <c r="AJ731" s="1" t="inlineStr">
        <is>
          <t>Зпв</t>
        </is>
      </c>
    </row>
    <row r="732" customFormat="1" s="1">
      <c r="C732" s="1" t="inlineStr">
        <is>
          <t xml:space="preserve">8598550             </t>
        </is>
      </c>
      <c r="D732" s="1" t="inlineStr">
        <is>
          <t>Лапа друга (pocket book)</t>
        </is>
      </c>
      <c r="E732" s="1" t="inlineStr">
        <is>
          <t>Уличный кот по имени Боб. Как человек и кот обрели надежду на улицах Лондона. Боуэн Дж.</t>
        </is>
      </c>
      <c r="F732" s="13" t="inlineStr">
        <is>
          <t>См.обл.</t>
        </is>
      </c>
      <c r="G732" s="1" t="inlineStr">
        <is>
          <t>Боуэн Дж.</t>
        </is>
      </c>
      <c r="H732" s="1" t="inlineStr">
        <is>
          <t>76х100/32</t>
        </is>
      </c>
      <c r="I732" s="1" t="n">
        <v>384</v>
      </c>
      <c r="J732" s="1" t="inlineStr">
        <is>
          <t>РИПОЛ Классик</t>
        </is>
      </c>
      <c r="M732" s="1" t="inlineStr">
        <is>
          <t>2026</t>
        </is>
      </c>
      <c r="N732" s="1" t="inlineStr">
        <is>
          <t>О</t>
        </is>
      </c>
      <c r="O732" s="9" t="n">
        <v>12</v>
      </c>
      <c r="P732" s="1">
        <f>ROUNDUP(600*(1-$F$3),2)</f>
        <v/>
      </c>
      <c r="Q732" s="1" t="inlineStr">
        <is>
          <t> </t>
        </is>
      </c>
      <c r="R732" s="1" t="inlineStr">
        <is>
          <t>978-5-386-10742-0</t>
        </is>
      </c>
      <c r="S732" s="1" t="inlineStr">
        <is>
          <t>9785386107420</t>
        </is>
      </c>
      <c r="T732" s="9" t="n">
        <v>10</v>
      </c>
      <c r="U732" s="1">
        <f>ROUNDUP(545.45*(1-$F$3),2)</f>
        <v/>
      </c>
      <c r="V732" s="1" t="n">
        <v>189</v>
      </c>
      <c r="Y732" s="1" t="inlineStr">
        <is>
          <t>Уличный кот по имени Боб. Как человек и кот обрели надежду на улицах Лондона</t>
        </is>
      </c>
      <c r="Z732" s="1" t="inlineStr">
        <is>
          <t>16+</t>
        </is>
      </c>
      <c r="AA732" s="12" t="n">
        <v>43218</v>
      </c>
      <c r="AB732" s="1" t="inlineStr">
        <is>
          <t>Художественная литература</t>
        </is>
      </c>
      <c r="AC732" s="1" t="inlineStr">
        <is>
          <t>Зарубежная литература</t>
        </is>
      </c>
      <c r="AD732" s="1" t="inlineStr">
        <is>
          <t>Европейская литература</t>
        </is>
      </c>
      <c r="AE732" s="1" t="inlineStr">
        <is>
          <t>офсетная</t>
        </is>
      </c>
      <c r="AG732" s="1" t="n">
        <v>8598550</v>
      </c>
      <c r="AI732" s="1" t="inlineStr">
        <is>
          <t>4901990000</t>
        </is>
      </c>
      <c r="AJ732" s="1" t="inlineStr">
        <is>
          <t>Зпв</t>
        </is>
      </c>
    </row>
    <row r="733" customFormat="1" s="1">
      <c r="C733" s="1" t="inlineStr">
        <is>
          <t xml:space="preserve">8921070             </t>
        </is>
      </c>
      <c r="D733" s="1" t="inlineStr">
        <is>
          <t>Лауреат Пулитцеровской премии</t>
        </is>
      </c>
      <c r="E733" s="1" t="inlineStr">
        <is>
          <t>Черный граф. Подлинная история графа Монте-Кристо. Рейсс Т</t>
        </is>
      </c>
      <c r="F733" s="13" t="inlineStr">
        <is>
          <t>См.обл.</t>
        </is>
      </c>
      <c r="G733" s="1" t="inlineStr">
        <is>
          <t>Рейсс Т</t>
        </is>
      </c>
      <c r="H733" s="1" t="inlineStr">
        <is>
          <t>60х90/16</t>
        </is>
      </c>
      <c r="I733" s="1" t="n">
        <v>591</v>
      </c>
      <c r="J733" s="1" t="inlineStr">
        <is>
          <t>РИПОЛ Классик</t>
        </is>
      </c>
      <c r="K733" s="1" t="inlineStr">
        <is>
          <t>Панглосс</t>
        </is>
      </c>
      <c r="M733" s="1" t="inlineStr">
        <is>
          <t>2019</t>
        </is>
      </c>
      <c r="N733" s="1" t="inlineStr">
        <is>
          <t>П</t>
        </is>
      </c>
      <c r="O733" s="9" t="n">
        <v>6</v>
      </c>
      <c r="P733" s="1">
        <f>ROUNDUP(1120*(1-$F$3),2)</f>
        <v/>
      </c>
      <c r="Q733" s="1" t="inlineStr">
        <is>
          <t> </t>
        </is>
      </c>
      <c r="R733" s="1" t="inlineStr">
        <is>
          <t>978-5-386-10724-6</t>
        </is>
      </c>
      <c r="S733" s="1" t="inlineStr">
        <is>
          <t>9785386107246</t>
        </is>
      </c>
      <c r="T733" s="9" t="n">
        <v>10</v>
      </c>
      <c r="U733" s="1">
        <f>ROUNDUP(1018.18*(1-$F$3),2)</f>
        <v/>
      </c>
      <c r="V733" s="1" t="n">
        <v>681</v>
      </c>
      <c r="Y733" s="1" t="inlineStr">
        <is>
          <t>Черный граф. Подлинная история графа Монте-Кристо</t>
        </is>
      </c>
      <c r="Z733" s="1" t="inlineStr">
        <is>
          <t>16+</t>
        </is>
      </c>
      <c r="AA733" s="12" t="n">
        <v>43540</v>
      </c>
      <c r="AB733" s="1" t="inlineStr">
        <is>
          <t>Художественная литература</t>
        </is>
      </c>
      <c r="AC733" s="1" t="inlineStr">
        <is>
          <t>Приключенческая проза</t>
        </is>
      </c>
      <c r="AD733" s="1" t="inlineStr">
        <is>
          <t>Зарубежная приключенческая проза</t>
        </is>
      </c>
      <c r="AE733" s="1" t="inlineStr">
        <is>
          <t>офсетная</t>
        </is>
      </c>
      <c r="AG733" s="1" t="n">
        <v>8921070</v>
      </c>
      <c r="AI733" s="1" t="inlineStr">
        <is>
          <t>4901990000</t>
        </is>
      </c>
      <c r="AJ733" s="1" t="inlineStr">
        <is>
          <t>Зпв</t>
        </is>
      </c>
    </row>
    <row r="734" customFormat="1" s="1">
      <c r="C734" s="1" t="inlineStr">
        <is>
          <t xml:space="preserve">8819550             </t>
        </is>
      </c>
      <c r="D734" s="1" t="inlineStr">
        <is>
          <t>Легендарные системы развития внимания</t>
        </is>
      </c>
      <c r="E734" s="1" t="inlineStr">
        <is>
          <t>Мастер лабиринтов. Система развития внимания и концентрации. Фрайд Г.</t>
        </is>
      </c>
      <c r="F734" s="13" t="inlineStr">
        <is>
          <t>См.обл.</t>
        </is>
      </c>
      <c r="G734" s="1" t="inlineStr">
        <is>
          <t>Фрайд Г.</t>
        </is>
      </c>
      <c r="H734" s="1" t="inlineStr">
        <is>
          <t>60х84/8</t>
        </is>
      </c>
      <c r="I734" s="1" t="n">
        <v>64</v>
      </c>
      <c r="J734" s="1" t="inlineStr">
        <is>
          <t>РИПОЛ Классик</t>
        </is>
      </c>
      <c r="M734" s="1" t="inlineStr">
        <is>
          <t>2018</t>
        </is>
      </c>
      <c r="N734" s="1" t="inlineStr">
        <is>
          <t>П</t>
        </is>
      </c>
      <c r="O734" s="9" t="n">
        <v>12</v>
      </c>
      <c r="P734" s="1">
        <f>ROUNDUP(1080*(1-$F$3),2)</f>
        <v/>
      </c>
      <c r="Q734" s="1" t="inlineStr">
        <is>
          <t> </t>
        </is>
      </c>
      <c r="R734" s="1" t="inlineStr">
        <is>
          <t>978-5-386-10546-4</t>
        </is>
      </c>
      <c r="S734" s="1" t="inlineStr">
        <is>
          <t>9785386105464</t>
        </is>
      </c>
      <c r="T734" s="9" t="n">
        <v>10</v>
      </c>
      <c r="U734" s="1">
        <f>ROUNDUP(981.82*(1-$F$3),2)</f>
        <v/>
      </c>
      <c r="V734" s="1" t="n">
        <v>275</v>
      </c>
      <c r="Y734" s="1" t="inlineStr">
        <is>
          <t>Мастер лабиринтов. Система развития внимания и концентрации</t>
        </is>
      </c>
      <c r="Z734" s="1" t="inlineStr">
        <is>
          <t>6 +</t>
        </is>
      </c>
      <c r="AA734" s="12" t="n">
        <v>43424</v>
      </c>
      <c r="AB734" s="1" t="inlineStr">
        <is>
          <t>Дом. Быт. Досуг</t>
        </is>
      </c>
      <c r="AC734" s="1" t="inlineStr">
        <is>
          <t>Хобби. Отдых. Праздники</t>
        </is>
      </c>
      <c r="AD734" s="1" t="inlineStr">
        <is>
          <t>Игры. Развлечения</t>
        </is>
      </c>
      <c r="AE734" s="1" t="inlineStr">
        <is>
          <t>офсетная</t>
        </is>
      </c>
      <c r="AG734" s="1" t="n">
        <v>8819550</v>
      </c>
      <c r="AI734" s="1" t="inlineStr">
        <is>
          <t>4901990000</t>
        </is>
      </c>
    </row>
    <row r="735" customFormat="1" s="1">
      <c r="C735" s="1" t="inlineStr">
        <is>
          <t xml:space="preserve">8734240             </t>
        </is>
      </c>
      <c r="D735" s="1" t="inlineStr">
        <is>
          <t>Легендарные системы развития внимания</t>
        </is>
      </c>
      <c r="E735" s="1" t="inlineStr">
        <is>
          <t>Титаны. Гинар Т.</t>
        </is>
      </c>
      <c r="F735" s="13" t="inlineStr">
        <is>
          <t>См.обл.</t>
        </is>
      </c>
      <c r="G735" s="1" t="inlineStr">
        <is>
          <t>Гинар Т.</t>
        </is>
      </c>
      <c r="H735" s="1" t="inlineStr">
        <is>
          <t>60х84/8</t>
        </is>
      </c>
      <c r="I735" s="1" t="n">
        <v>48</v>
      </c>
      <c r="J735" s="1" t="inlineStr">
        <is>
          <t>РИПОЛ Классик</t>
        </is>
      </c>
      <c r="M735" s="1" t="inlineStr">
        <is>
          <t>2018</t>
        </is>
      </c>
      <c r="N735" s="1" t="inlineStr">
        <is>
          <t>П</t>
        </is>
      </c>
      <c r="O735" s="9" t="n">
        <v>15</v>
      </c>
      <c r="P735" s="1">
        <f>ROUNDUP(942*(1-$F$3),2)</f>
        <v/>
      </c>
      <c r="Q735" s="1" t="inlineStr">
        <is>
          <t> </t>
        </is>
      </c>
      <c r="R735" s="1" t="inlineStr">
        <is>
          <t>978-5-386-10877-9</t>
        </is>
      </c>
      <c r="S735" s="1" t="inlineStr">
        <is>
          <t>9785386108779</t>
        </is>
      </c>
      <c r="T735" s="9" t="n">
        <v>10</v>
      </c>
      <c r="U735" s="1">
        <f>ROUNDUP(856.36*(1-$F$3),2)</f>
        <v/>
      </c>
      <c r="V735" s="1" t="n">
        <v>412</v>
      </c>
      <c r="Y735" s="1" t="inlineStr">
        <is>
          <t>Титаны</t>
        </is>
      </c>
      <c r="Z735" s="1" t="inlineStr">
        <is>
          <t>12+</t>
        </is>
      </c>
      <c r="AA735" s="12" t="n">
        <v>43404</v>
      </c>
      <c r="AB735" s="1" t="inlineStr">
        <is>
          <t>Детская литература</t>
        </is>
      </c>
      <c r="AC735" s="1" t="inlineStr">
        <is>
          <t>Художественная литература</t>
        </is>
      </c>
      <c r="AD735" s="1" t="inlineStr">
        <is>
          <t>Фантастика. Фэнтэзи. Ужастик</t>
        </is>
      </c>
      <c r="AE735" s="1" t="inlineStr">
        <is>
          <t>офсетная</t>
        </is>
      </c>
      <c r="AG735" s="1" t="n">
        <v>8734240</v>
      </c>
      <c r="AI735" s="1" t="inlineStr">
        <is>
          <t>4901990000</t>
        </is>
      </c>
    </row>
    <row r="736" customFormat="1" s="1">
      <c r="C736" s="1" t="inlineStr">
        <is>
          <t xml:space="preserve">8355940             </t>
        </is>
      </c>
      <c r="D736" s="1" t="inlineStr">
        <is>
          <t>Леди Хелен</t>
        </is>
      </c>
      <c r="E736" s="1" t="inlineStr">
        <is>
          <t>Клуб "Темные времена". Гудман Э.</t>
        </is>
      </c>
      <c r="F736" s="13" t="inlineStr">
        <is>
          <t>См.обл.</t>
        </is>
      </c>
      <c r="G736" s="1" t="inlineStr">
        <is>
          <t>Гудман Э.</t>
        </is>
      </c>
      <c r="H736" s="1" t="inlineStr">
        <is>
          <t>60х90/16</t>
        </is>
      </c>
      <c r="I736" s="1" t="n">
        <v>496</v>
      </c>
      <c r="J736" s="1" t="inlineStr">
        <is>
          <t>РИПОЛ Классик</t>
        </is>
      </c>
      <c r="M736" s="1" t="inlineStr">
        <is>
          <t>2017</t>
        </is>
      </c>
      <c r="N736" s="1" t="inlineStr">
        <is>
          <t>П</t>
        </is>
      </c>
      <c r="O736" s="9" t="n">
        <v>8</v>
      </c>
      <c r="P736" s="1">
        <f>ROUNDUP(1251.6*(1-$F$3),2)</f>
        <v/>
      </c>
      <c r="Q736" s="1" t="inlineStr">
        <is>
          <t> </t>
        </is>
      </c>
      <c r="R736" s="1" t="inlineStr">
        <is>
          <t>978-5-386-10153-4</t>
        </is>
      </c>
      <c r="S736" s="1" t="inlineStr">
        <is>
          <t>9785386101534</t>
        </is>
      </c>
      <c r="T736" s="9" t="n">
        <v>10</v>
      </c>
      <c r="U736" s="1">
        <f>ROUNDUP(1137.82*(1-$F$3),2)</f>
        <v/>
      </c>
      <c r="V736" s="1" t="n">
        <v>589</v>
      </c>
      <c r="Y736" s="1" t="inlineStr">
        <is>
          <t>Клуб "Темные времена"</t>
        </is>
      </c>
      <c r="Z736" s="1" t="inlineStr">
        <is>
          <t>16+</t>
        </is>
      </c>
      <c r="AA736" s="12" t="n">
        <v>43052</v>
      </c>
      <c r="AB736" s="1" t="inlineStr">
        <is>
          <t>Художественная литература</t>
        </is>
      </c>
      <c r="AC736" s="1" t="inlineStr">
        <is>
          <t>Зарубежная литература</t>
        </is>
      </c>
      <c r="AD736" s="1" t="inlineStr">
        <is>
          <t>Европейская литература</t>
        </is>
      </c>
      <c r="AE736" s="1" t="inlineStr">
        <is>
          <t>офсетная</t>
        </is>
      </c>
      <c r="AG736" s="1" t="n">
        <v>8355940</v>
      </c>
      <c r="AI736" s="1" t="inlineStr">
        <is>
          <t>4901990000</t>
        </is>
      </c>
    </row>
    <row r="737" customFormat="1" s="1">
      <c r="C737" s="1" t="inlineStr">
        <is>
          <t xml:space="preserve">11711990            </t>
        </is>
      </c>
      <c r="D737" s="1" t="inlineStr">
        <is>
          <t>Ледников</t>
        </is>
      </c>
      <c r="E737" s="1" t="inlineStr">
        <is>
          <t>До встречи в Лондоне. Эта женщина будет моей. Звягинцев А.Г.</t>
        </is>
      </c>
      <c r="F737" s="13" t="inlineStr">
        <is>
          <t>См.обл.</t>
        </is>
      </c>
      <c r="G737" s="1" t="inlineStr">
        <is>
          <t>Звягинцев А.Г.</t>
        </is>
      </c>
      <c r="H737" s="1" t="inlineStr">
        <is>
          <t>60х90/16</t>
        </is>
      </c>
      <c r="I737" s="1" t="n">
        <v>400</v>
      </c>
      <c r="J737" s="1" t="inlineStr">
        <is>
          <t>РИПОЛ Классик</t>
        </is>
      </c>
      <c r="M737" s="1" t="inlineStr">
        <is>
          <t>2027</t>
        </is>
      </c>
      <c r="N737" s="1" t="inlineStr">
        <is>
          <t>П</t>
        </is>
      </c>
      <c r="O737" s="9" t="n">
        <v>4</v>
      </c>
      <c r="P737" s="1">
        <f>ROUNDUP(1730*(1-$F$3),2)</f>
        <v/>
      </c>
      <c r="Q737" s="1" t="inlineStr">
        <is>
          <t> </t>
        </is>
      </c>
      <c r="R737" s="1" t="inlineStr">
        <is>
          <t>978-5-386-15430-1</t>
        </is>
      </c>
      <c r="S737" s="1" t="inlineStr">
        <is>
          <t>9785386154301</t>
        </is>
      </c>
      <c r="T737" s="9" t="n">
        <v>10</v>
      </c>
      <c r="U737" s="1">
        <f>ROUNDUP(1572.73*(1-$F$3),2)</f>
        <v/>
      </c>
      <c r="V737" s="1" t="n">
        <v>433</v>
      </c>
      <c r="Y737" s="1" t="inlineStr">
        <is>
          <t>До встречи в Лондоне. Эта женщина будет моей</t>
        </is>
      </c>
      <c r="Z737" s="1" t="inlineStr">
        <is>
          <t>16+</t>
        </is>
      </c>
      <c r="AA737" s="12" t="n">
        <v>45756</v>
      </c>
      <c r="AB737" s="1" t="inlineStr">
        <is>
          <t>Художественная литература</t>
        </is>
      </c>
      <c r="AC737" s="1" t="inlineStr">
        <is>
          <t>Детективы. Боевики. Триллеры</t>
        </is>
      </c>
      <c r="AD737" s="1" t="inlineStr">
        <is>
          <t>Русский детектив</t>
        </is>
      </c>
      <c r="AE737" s="1" t="inlineStr">
        <is>
          <t>офсетная</t>
        </is>
      </c>
      <c r="AG737" s="1" t="n">
        <v>11711990</v>
      </c>
      <c r="AI737" s="1" t="inlineStr">
        <is>
          <t>4901990000</t>
        </is>
      </c>
    </row>
    <row r="738" customFormat="1" s="1">
      <c r="C738" s="1" t="inlineStr">
        <is>
          <t xml:space="preserve">11712000            </t>
        </is>
      </c>
      <c r="D738" s="1" t="inlineStr">
        <is>
          <t>Ледников</t>
        </is>
      </c>
      <c r="E738" s="1" t="inlineStr">
        <is>
          <t>Ярмарка безумия. Принуждение к любви. Звягинцев А.Г.</t>
        </is>
      </c>
      <c r="F738" s="13" t="inlineStr">
        <is>
          <t>См.обл.</t>
        </is>
      </c>
      <c r="G738" s="1" t="inlineStr">
        <is>
          <t>Звягинцев А.Г.</t>
        </is>
      </c>
      <c r="H738" s="1" t="inlineStr">
        <is>
          <t>60х90/16</t>
        </is>
      </c>
      <c r="I738" s="1" t="n">
        <v>432</v>
      </c>
      <c r="J738" s="1" t="inlineStr">
        <is>
          <t>РИПОЛ Классик</t>
        </is>
      </c>
      <c r="M738" s="1" t="inlineStr">
        <is>
          <t>2025</t>
        </is>
      </c>
      <c r="N738" s="1" t="inlineStr">
        <is>
          <t>П</t>
        </is>
      </c>
      <c r="O738" s="9" t="n">
        <v>4</v>
      </c>
      <c r="P738" s="1">
        <f>ROUNDUP(1730*(1-$F$3),2)</f>
        <v/>
      </c>
      <c r="Q738" s="1" t="inlineStr">
        <is>
          <t> </t>
        </is>
      </c>
      <c r="R738" s="1" t="inlineStr">
        <is>
          <t>978-5-386-15428-8</t>
        </is>
      </c>
      <c r="S738" s="1" t="inlineStr">
        <is>
          <t>9785386154288</t>
        </is>
      </c>
      <c r="T738" s="9" t="n">
        <v>10</v>
      </c>
      <c r="U738" s="1">
        <f>ROUNDUP(1572.73*(1-$F$3),2)</f>
        <v/>
      </c>
      <c r="V738" s="1" t="n">
        <v>456</v>
      </c>
      <c r="Y738" s="1" t="inlineStr">
        <is>
          <t>Ярмарка безумия. Принуждение к любви</t>
        </is>
      </c>
      <c r="Z738" s="1" t="inlineStr">
        <is>
          <t>16+</t>
        </is>
      </c>
      <c r="AA738" s="12" t="n">
        <v>45756</v>
      </c>
      <c r="AB738" s="1" t="inlineStr">
        <is>
          <t>Художественная литература</t>
        </is>
      </c>
      <c r="AC738" s="1" t="inlineStr">
        <is>
          <t>Детективы. Боевики. Триллеры</t>
        </is>
      </c>
      <c r="AD738" s="1" t="inlineStr">
        <is>
          <t>Русский детектив</t>
        </is>
      </c>
      <c r="AE738" s="1" t="inlineStr">
        <is>
          <t>офсетная</t>
        </is>
      </c>
      <c r="AG738" s="1" t="n">
        <v>11712000</v>
      </c>
      <c r="AI738" s="1" t="inlineStr">
        <is>
          <t>4901990000</t>
        </is>
      </c>
    </row>
    <row r="739" customFormat="1" s="1">
      <c r="C739" s="1" t="inlineStr">
        <is>
          <t xml:space="preserve">8471990             </t>
        </is>
      </c>
      <c r="D739" s="1" t="inlineStr">
        <is>
          <t>Лекции PRO</t>
        </is>
      </c>
      <c r="E739" s="1" t="inlineStr">
        <is>
          <t>Введение в мифологию. 4-е изд. Баркова А.Л</t>
        </is>
      </c>
      <c r="F739" s="13" t="inlineStr">
        <is>
          <t>См.обл.</t>
        </is>
      </c>
      <c r="G739" s="1" t="inlineStr">
        <is>
          <t>Баркова А.Л</t>
        </is>
      </c>
      <c r="H739" s="1" t="inlineStr">
        <is>
          <t>60х90/16</t>
        </is>
      </c>
      <c r="I739" s="1" t="n">
        <v>528</v>
      </c>
      <c r="J739" s="1" t="inlineStr">
        <is>
          <t>РИПОЛ Классик</t>
        </is>
      </c>
      <c r="M739" s="1" t="inlineStr">
        <is>
          <t>2022</t>
        </is>
      </c>
      <c r="N739" s="1" t="inlineStr">
        <is>
          <t>О</t>
        </is>
      </c>
      <c r="O739" s="9" t="n">
        <v>5</v>
      </c>
      <c r="P739" s="1">
        <f>ROUNDUP(1200*(1-$F$3),2)</f>
        <v/>
      </c>
      <c r="Q739" s="1" t="inlineStr">
        <is>
          <t> </t>
        </is>
      </c>
      <c r="R739" s="1" t="inlineStr">
        <is>
          <t>978-5-386-10524-2</t>
        </is>
      </c>
      <c r="S739" s="1" t="inlineStr">
        <is>
          <t>9785386105242</t>
        </is>
      </c>
      <c r="T739" s="9" t="n">
        <v>10</v>
      </c>
      <c r="U739" s="1">
        <f>ROUNDUP(1090.91*(1-$F$3),2)</f>
        <v/>
      </c>
      <c r="V739" s="1" t="n">
        <v>442</v>
      </c>
      <c r="Y739" s="1" t="inlineStr">
        <is>
          <t>Введение в мифологию. 4-е изд</t>
        </is>
      </c>
      <c r="Z739" s="1" t="inlineStr">
        <is>
          <t>12+</t>
        </is>
      </c>
      <c r="AA739" s="12" t="n">
        <v>43166</v>
      </c>
      <c r="AB739" s="1" t="inlineStr">
        <is>
          <t>Гуманитарные науки</t>
        </is>
      </c>
      <c r="AC739" s="1" t="inlineStr">
        <is>
          <t>Литературоведение</t>
        </is>
      </c>
      <c r="AD739" s="1" t="inlineStr">
        <is>
          <t>Фольклористика</t>
        </is>
      </c>
      <c r="AE739" s="1" t="inlineStr">
        <is>
          <t>газетная</t>
        </is>
      </c>
      <c r="AG739" s="1" t="n">
        <v>8471990</v>
      </c>
      <c r="AI739" s="1" t="inlineStr">
        <is>
          <t>4901990000</t>
        </is>
      </c>
    </row>
    <row r="740" customFormat="1" s="1">
      <c r="C740" s="1" t="inlineStr">
        <is>
          <t xml:space="preserve">8740570             </t>
        </is>
      </c>
      <c r="D740" s="1" t="inlineStr">
        <is>
          <t>Лекции Pro - mini</t>
        </is>
      </c>
      <c r="E740" s="1" t="inlineStr">
        <is>
          <t>От знака к знанию. Четыре лекции о том, как семиотика меняет мир. Марков А.В.</t>
        </is>
      </c>
      <c r="F740" s="13" t="inlineStr">
        <is>
          <t>См.обл.</t>
        </is>
      </c>
      <c r="G740" s="1" t="inlineStr">
        <is>
          <t>Марков А.В.</t>
        </is>
      </c>
      <c r="H740" s="1" t="inlineStr">
        <is>
          <t>80х100/32</t>
        </is>
      </c>
      <c r="I740" s="1" t="n">
        <v>174</v>
      </c>
      <c r="J740" s="1" t="inlineStr">
        <is>
          <t>РИПОЛ Классик</t>
        </is>
      </c>
      <c r="M740" s="1" t="inlineStr">
        <is>
          <t>2018</t>
        </is>
      </c>
      <c r="N740" s="1" t="inlineStr">
        <is>
          <t>О</t>
        </is>
      </c>
      <c r="O740" s="9" t="n">
        <v>22</v>
      </c>
      <c r="P740" s="1">
        <f>ROUNDUP(883.1*(1-$F$3),2)</f>
        <v/>
      </c>
      <c r="Q740" s="1" t="inlineStr">
        <is>
          <t> </t>
        </is>
      </c>
      <c r="R740" s="1" t="inlineStr">
        <is>
          <t>978-5-386-12188-4</t>
        </is>
      </c>
      <c r="S740" s="1" t="inlineStr">
        <is>
          <t>9785386121884</t>
        </is>
      </c>
      <c r="T740" s="9" t="n">
        <v>10</v>
      </c>
      <c r="U740" s="1">
        <f>ROUNDUP(802.82*(1-$F$3),2)</f>
        <v/>
      </c>
      <c r="V740" s="1" t="n">
        <v>141</v>
      </c>
      <c r="Y740" s="1" t="inlineStr">
        <is>
          <t>От знака к знанию. Четыре лекции о том, как семиотика меняет мир</t>
        </is>
      </c>
      <c r="Z740" s="1" t="inlineStr">
        <is>
          <t>12+</t>
        </is>
      </c>
      <c r="AA740" s="12" t="n">
        <v>43363</v>
      </c>
      <c r="AB740" s="1" t="inlineStr">
        <is>
          <t>Гуманитарные науки</t>
        </is>
      </c>
      <c r="AC740" s="1" t="inlineStr">
        <is>
          <t>Культура. Культурология</t>
        </is>
      </c>
      <c r="AD740" s="1" t="inlineStr">
        <is>
          <t>Прикладная культурология</t>
        </is>
      </c>
      <c r="AE740" s="1" t="inlineStr">
        <is>
          <t>офсетная</t>
        </is>
      </c>
      <c r="AG740" s="1" t="n">
        <v>8740570</v>
      </c>
      <c r="AI740" s="1" t="inlineStr">
        <is>
          <t>4901990000</t>
        </is>
      </c>
    </row>
    <row r="741" customFormat="1" s="1">
      <c r="C741" s="1" t="inlineStr">
        <is>
          <t xml:space="preserve">8976720             </t>
        </is>
      </c>
      <c r="D741" s="1" t="inlineStr">
        <is>
          <t>ЛекцииPRO-classics</t>
        </is>
      </c>
      <c r="E741" s="1" t="inlineStr">
        <is>
          <t>Введение в психоанализ. Фрейд З.</t>
        </is>
      </c>
      <c r="F741" s="13" t="inlineStr">
        <is>
          <t>См.обл.</t>
        </is>
      </c>
      <c r="G741" s="1" t="inlineStr">
        <is>
          <t>Фрейд З.</t>
        </is>
      </c>
      <c r="H741" s="1" t="inlineStr">
        <is>
          <t>84х108/32</t>
        </is>
      </c>
      <c r="I741" s="1" t="n">
        <v>544</v>
      </c>
      <c r="J741" s="1" t="inlineStr">
        <is>
          <t>РИПОЛ Классик</t>
        </is>
      </c>
      <c r="K741" s="1" t="inlineStr">
        <is>
          <t>Пальмира</t>
        </is>
      </c>
      <c r="M741" s="1" t="inlineStr">
        <is>
          <t>2019</t>
        </is>
      </c>
      <c r="N741" s="1" t="inlineStr">
        <is>
          <t>О</t>
        </is>
      </c>
      <c r="O741" s="9" t="n">
        <v>10</v>
      </c>
      <c r="P741" s="1">
        <f>ROUNDUP(820*(1-$F$3),2)</f>
        <v/>
      </c>
      <c r="Q741" s="1" t="inlineStr">
        <is>
          <t> </t>
        </is>
      </c>
      <c r="R741" s="1" t="inlineStr">
        <is>
          <t>978-5-386-12521-9</t>
        </is>
      </c>
      <c r="S741" s="1" t="inlineStr">
        <is>
          <t>9785386125219</t>
        </is>
      </c>
      <c r="T741" s="9" t="n">
        <v>10</v>
      </c>
      <c r="U741" s="1">
        <f>ROUNDUP(745.45*(1-$F$3),2)</f>
        <v/>
      </c>
      <c r="V741" s="1" t="n">
        <v>459</v>
      </c>
      <c r="Y741" s="1" t="inlineStr">
        <is>
          <t>Введение в психоанализ</t>
        </is>
      </c>
      <c r="Z741" s="1" t="inlineStr">
        <is>
          <t>16+</t>
        </is>
      </c>
      <c r="AA741" s="12" t="n">
        <v>43577</v>
      </c>
      <c r="AB741" s="1" t="inlineStr">
        <is>
          <t>Гуманитарные науки</t>
        </is>
      </c>
      <c r="AC741" s="1" t="inlineStr">
        <is>
          <t>Психология</t>
        </is>
      </c>
      <c r="AD741" s="1" t="inlineStr">
        <is>
          <t>Глубинная психология. Психоанализ</t>
        </is>
      </c>
      <c r="AE741" s="1" t="inlineStr">
        <is>
          <t>офсетная</t>
        </is>
      </c>
      <c r="AG741" s="1" t="n">
        <v>8976720</v>
      </c>
      <c r="AI741" s="1" t="inlineStr">
        <is>
          <t>4901990000</t>
        </is>
      </c>
    </row>
    <row r="742" customFormat="1" s="1">
      <c r="C742" s="1" t="inlineStr">
        <is>
          <t xml:space="preserve">9578490             </t>
        </is>
      </c>
      <c r="D742" s="1" t="inlineStr">
        <is>
          <t>Лестница в небо</t>
        </is>
      </c>
      <c r="E742" s="1" t="inlineStr">
        <is>
          <t>48 законов власти (полная версия). Грин Р.</t>
        </is>
      </c>
      <c r="F742" s="13" t="inlineStr">
        <is>
          <t>См.обл.</t>
        </is>
      </c>
      <c r="G742" s="1" t="inlineStr">
        <is>
          <t>Грин Р.</t>
        </is>
      </c>
      <c r="H742" s="1" t="inlineStr">
        <is>
          <t>84х108/32</t>
        </is>
      </c>
      <c r="I742" s="1" t="n">
        <v>768</v>
      </c>
      <c r="J742" s="1" t="inlineStr">
        <is>
          <t>РИПОЛ Классик</t>
        </is>
      </c>
      <c r="M742" s="1" t="inlineStr">
        <is>
          <t>2025</t>
        </is>
      </c>
      <c r="N742" s="1" t="inlineStr">
        <is>
          <t>П</t>
        </is>
      </c>
      <c r="O742" s="9" t="n">
        <v>3</v>
      </c>
      <c r="P742" s="1">
        <f>ROUNDUP(1280*(1-$F$3),2)</f>
        <v/>
      </c>
      <c r="Q742" s="1" t="inlineStr">
        <is>
          <t> </t>
        </is>
      </c>
      <c r="R742" s="1" t="inlineStr">
        <is>
          <t>978-5-386-13873-8</t>
        </is>
      </c>
      <c r="S742" s="1" t="inlineStr">
        <is>
          <t>9785386138738</t>
        </is>
      </c>
      <c r="T742" s="9" t="n">
        <v>10</v>
      </c>
      <c r="U742" s="1">
        <f>ROUNDUP(1163.64*(1-$F$3),2)</f>
        <v/>
      </c>
      <c r="V742" s="1" t="n">
        <v>521</v>
      </c>
      <c r="Y742" s="1" t="inlineStr">
        <is>
          <t>48 законов власти (полная версия)</t>
        </is>
      </c>
      <c r="Z742" s="1" t="inlineStr">
        <is>
          <t>16+</t>
        </is>
      </c>
      <c r="AA742" s="12" t="n">
        <v>44189</v>
      </c>
      <c r="AB742" s="1" t="inlineStr">
        <is>
          <t>Общественные науки</t>
        </is>
      </c>
      <c r="AC742" s="1" t="inlineStr">
        <is>
          <t>Политика</t>
        </is>
      </c>
      <c r="AD742" s="1" t="inlineStr">
        <is>
          <t>Государственное управление. Власть</t>
        </is>
      </c>
      <c r="AE742" s="1" t="inlineStr">
        <is>
          <t>газетная</t>
        </is>
      </c>
      <c r="AG742" s="1" t="n">
        <v>9578490</v>
      </c>
      <c r="AI742" s="1" t="inlineStr">
        <is>
          <t>4901990000</t>
        </is>
      </c>
    </row>
    <row r="743" customFormat="1" s="1">
      <c r="C743" s="1" t="inlineStr">
        <is>
          <t xml:space="preserve">9577790             </t>
        </is>
      </c>
      <c r="D743" s="1" t="inlineStr">
        <is>
          <t>Лестница в небо</t>
        </is>
      </c>
      <c r="E743" s="1" t="inlineStr">
        <is>
          <t>Левиафан. Гоббс Т.</t>
        </is>
      </c>
      <c r="F743" s="13" t="inlineStr">
        <is>
          <t>См.обл.</t>
        </is>
      </c>
      <c r="G743" s="1" t="inlineStr">
        <is>
          <t>Гоббс Т.</t>
        </is>
      </c>
      <c r="H743" s="1" t="inlineStr">
        <is>
          <t>84х108/32</t>
        </is>
      </c>
      <c r="I743" s="1" t="n">
        <v>624</v>
      </c>
      <c r="J743" s="1" t="inlineStr">
        <is>
          <t>РИПОЛ Классик</t>
        </is>
      </c>
      <c r="M743" s="1" t="inlineStr">
        <is>
          <t>2021</t>
        </is>
      </c>
      <c r="N743" s="1" t="inlineStr">
        <is>
          <t>П</t>
        </is>
      </c>
      <c r="O743" s="9" t="n">
        <v>6</v>
      </c>
      <c r="P743" s="1">
        <f>ROUNDUP(1010*(1-$F$3),2)</f>
        <v/>
      </c>
      <c r="Q743" s="1" t="inlineStr">
        <is>
          <t> </t>
        </is>
      </c>
      <c r="R743" s="1" t="inlineStr">
        <is>
          <t>978-5-386-13874-5</t>
        </is>
      </c>
      <c r="S743" s="1" t="inlineStr">
        <is>
          <t>9785386138745</t>
        </is>
      </c>
      <c r="T743" s="9" t="n">
        <v>10</v>
      </c>
      <c r="U743" s="1">
        <f>ROUNDUP(918.18*(1-$F$3),2)</f>
        <v/>
      </c>
      <c r="V743" s="1" t="n">
        <v>422</v>
      </c>
      <c r="Y743" s="1" t="inlineStr">
        <is>
          <t>Левиафан</t>
        </is>
      </c>
      <c r="Z743" s="1" t="inlineStr">
        <is>
          <t>12+</t>
        </is>
      </c>
      <c r="AA743" s="12" t="n">
        <v>44189</v>
      </c>
      <c r="AB743" s="1" t="inlineStr">
        <is>
          <t>Гуманитарные науки</t>
        </is>
      </c>
      <c r="AC743" s="1" t="inlineStr">
        <is>
          <t>Философские науки</t>
        </is>
      </c>
      <c r="AD743" s="1" t="inlineStr">
        <is>
          <t>Философия в целом. Труды</t>
        </is>
      </c>
      <c r="AE743" s="1" t="inlineStr">
        <is>
          <t>газетная</t>
        </is>
      </c>
      <c r="AG743" s="1" t="n">
        <v>9577790</v>
      </c>
      <c r="AI743" s="1" t="inlineStr">
        <is>
          <t>4901990000</t>
        </is>
      </c>
    </row>
    <row r="744" customFormat="1" s="1">
      <c r="C744" s="1" t="inlineStr">
        <is>
          <t xml:space="preserve">9577940             </t>
        </is>
      </c>
      <c r="D744" s="1" t="inlineStr">
        <is>
          <t>Лестница в небо</t>
        </is>
      </c>
      <c r="E744" s="1" t="inlineStr">
        <is>
          <t>Лестница в небо. Диалоги о власти, карьере и мировой элите. Хазин М.Л.</t>
        </is>
      </c>
      <c r="F744" s="13" t="inlineStr">
        <is>
          <t>См.обл.</t>
        </is>
      </c>
      <c r="G744" s="1" t="inlineStr">
        <is>
          <t>Хазин М.Л.</t>
        </is>
      </c>
      <c r="H744" s="1" t="inlineStr">
        <is>
          <t>84х108/32</t>
        </is>
      </c>
      <c r="I744" s="1" t="n">
        <v>624</v>
      </c>
      <c r="J744" s="1" t="inlineStr">
        <is>
          <t>РИПОЛ Классик</t>
        </is>
      </c>
      <c r="M744" s="1" t="inlineStr">
        <is>
          <t>2025</t>
        </is>
      </c>
      <c r="N744" s="1" t="inlineStr">
        <is>
          <t>П</t>
        </is>
      </c>
      <c r="O744" s="9" t="n">
        <v>8</v>
      </c>
      <c r="P744" s="1">
        <f>ROUNDUP(1270*(1-$F$3),2)</f>
        <v/>
      </c>
      <c r="Q744" s="1" t="inlineStr">
        <is>
          <t> </t>
        </is>
      </c>
      <c r="R744" s="1" t="inlineStr">
        <is>
          <t>978-5-386-13876-9</t>
        </is>
      </c>
      <c r="S744" s="1" t="inlineStr">
        <is>
          <t>9785386138769</t>
        </is>
      </c>
      <c r="T744" s="9" t="n">
        <v>10</v>
      </c>
      <c r="U744" s="1">
        <f>ROUNDUP(1154.55*(1-$F$3),2)</f>
        <v/>
      </c>
      <c r="V744" s="1" t="n">
        <v>458</v>
      </c>
      <c r="Y744" s="1" t="inlineStr">
        <is>
          <t>Лестница в небо. Диалоги о власти, карьере и мировой элите</t>
        </is>
      </c>
      <c r="Z744" s="1" t="inlineStr">
        <is>
          <t>12+</t>
        </is>
      </c>
      <c r="AA744" s="12" t="n">
        <v>44189</v>
      </c>
      <c r="AB744" s="1" t="inlineStr">
        <is>
          <t>Общественные науки</t>
        </is>
      </c>
      <c r="AC744" s="1" t="inlineStr">
        <is>
          <t>Политика</t>
        </is>
      </c>
      <c r="AD744" s="1" t="inlineStr">
        <is>
          <t>Государственное управление. Власть</t>
        </is>
      </c>
      <c r="AE744" s="1" t="inlineStr">
        <is>
          <t>газетная</t>
        </is>
      </c>
      <c r="AG744" s="1" t="n">
        <v>9577940</v>
      </c>
      <c r="AI744" s="1" t="inlineStr">
        <is>
          <t>4901990000</t>
        </is>
      </c>
    </row>
    <row r="745" customFormat="1" s="1">
      <c r="C745" s="1" t="inlineStr">
        <is>
          <t>234325</t>
        </is>
      </c>
      <c r="D745" s="1" t="inlineStr">
        <is>
          <t>Лучшие маршруты мира</t>
        </is>
      </c>
      <c r="E745" s="1" t="inlineStr">
        <is>
          <t xml:space="preserve">Лучшие маршруты Франции. Подарите себе путешествие мечты. </t>
        </is>
      </c>
      <c r="F745" s="13" t="inlineStr">
        <is>
          <t>См.обл.</t>
        </is>
      </c>
      <c r="H745" s="1" t="inlineStr">
        <is>
          <t>60х84/8</t>
        </is>
      </c>
      <c r="I745" s="1" t="n">
        <v>494</v>
      </c>
      <c r="J745" s="1" t="inlineStr">
        <is>
          <t>РИПОЛ Классик</t>
        </is>
      </c>
      <c r="M745" s="1" t="inlineStr">
        <is>
          <t>2013</t>
        </is>
      </c>
      <c r="N745" s="1" t="inlineStr">
        <is>
          <t>П</t>
        </is>
      </c>
      <c r="O745" s="9" t="n">
        <v>8</v>
      </c>
      <c r="P745" s="1">
        <f>ROUNDUP(4289.5*(1-$F$3),2)</f>
        <v/>
      </c>
      <c r="Q745" s="1" t="inlineStr">
        <is>
          <t> </t>
        </is>
      </c>
      <c r="R745" s="1" t="inlineStr">
        <is>
          <t>978-5-386-05735-0</t>
        </is>
      </c>
      <c r="S745" s="1" t="inlineStr">
        <is>
          <t>9785386057350</t>
        </is>
      </c>
      <c r="T745" s="9" t="n">
        <v>10</v>
      </c>
      <c r="U745" s="1">
        <f>ROUNDUP(3899.55*(1-$F$3),2)</f>
        <v/>
      </c>
      <c r="V745" s="1" t="n">
        <v>1811</v>
      </c>
      <c r="W745" s="1" t="inlineStr">
        <is>
          <t xml:space="preserve">584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745" s="1" t="inlineStr">
        <is>
          <t xml:space="preserve">Описание туристических маршрутов                                                                                                </t>
        </is>
      </c>
      <c r="Y745" s="1" t="inlineStr">
        <is>
          <t>Лучшие маршруты Франции. Подарите себе путешествие мечты</t>
        </is>
      </c>
      <c r="AA745" s="12" t="n">
        <v>41561</v>
      </c>
      <c r="AB745" s="1" t="inlineStr">
        <is>
          <t>Дом. Быт. Досуг</t>
        </is>
      </c>
      <c r="AC745" s="1" t="inlineStr">
        <is>
          <t>Хобби. Отдых. Праздники</t>
        </is>
      </c>
      <c r="AD745" s="1" t="inlineStr">
        <is>
          <t>Путешествия. Туризм. Путеводители</t>
        </is>
      </c>
      <c r="AE745" s="1" t="inlineStr">
        <is>
          <t> </t>
        </is>
      </c>
      <c r="AG745" s="1" t="n">
        <v>5793130</v>
      </c>
      <c r="AI745" s="1" t="inlineStr">
        <is>
          <t>4901990000</t>
        </is>
      </c>
    </row>
    <row r="746" customFormat="1" s="1">
      <c r="C746" s="1" t="inlineStr">
        <is>
          <t xml:space="preserve">11801080            </t>
        </is>
      </c>
      <c r="D746" s="1" t="inlineStr">
        <is>
          <t>Любимые книги</t>
        </is>
      </c>
      <c r="E746" s="1" t="inlineStr">
        <is>
          <t>Город женщин: роман. Гилберт Э.</t>
        </is>
      </c>
      <c r="F746" s="13" t="inlineStr">
        <is>
          <t>См.обл.</t>
        </is>
      </c>
      <c r="G746" s="1" t="inlineStr">
        <is>
          <t>Гилберт Э.</t>
        </is>
      </c>
      <c r="H746" s="1" t="inlineStr">
        <is>
          <t>60х90/16</t>
        </is>
      </c>
      <c r="I746" s="1" t="n">
        <v>512</v>
      </c>
      <c r="J746" s="1" t="inlineStr">
        <is>
          <t>РИПОЛ Классик</t>
        </is>
      </c>
      <c r="M746" s="1" t="inlineStr">
        <is>
          <t>2025</t>
        </is>
      </c>
      <c r="N746" s="1" t="inlineStr">
        <is>
          <t>П</t>
        </is>
      </c>
      <c r="O746" s="9" t="n">
        <v>4</v>
      </c>
      <c r="P746" s="1">
        <f>ROUNDUP(1250*(1-$F$3),2)</f>
        <v/>
      </c>
      <c r="Q746" s="1" t="inlineStr">
        <is>
          <t> </t>
        </is>
      </c>
      <c r="R746" s="1" t="inlineStr">
        <is>
          <t>978-5-386-15438-7</t>
        </is>
      </c>
      <c r="S746" s="1" t="inlineStr">
        <is>
          <t>9785386154387</t>
        </is>
      </c>
      <c r="T746" s="9" t="n">
        <v>10</v>
      </c>
      <c r="U746" s="1">
        <f>ROUNDUP(1136.36*(1-$F$3),2)</f>
        <v/>
      </c>
      <c r="V746" s="1" t="n">
        <v>573</v>
      </c>
      <c r="Y746" s="1" t="inlineStr">
        <is>
          <t>Город женщин: роман</t>
        </is>
      </c>
      <c r="Z746" s="1" t="inlineStr">
        <is>
          <t>18+</t>
        </is>
      </c>
      <c r="AA746" s="12" t="n">
        <v>45868</v>
      </c>
      <c r="AB746" s="1" t="inlineStr">
        <is>
          <t>Художественная литература</t>
        </is>
      </c>
      <c r="AC746" s="1" t="inlineStr">
        <is>
          <t>Зарубежная литература</t>
        </is>
      </c>
      <c r="AD746" s="1" t="inlineStr">
        <is>
          <t>Литература Америки и Австралии</t>
        </is>
      </c>
      <c r="AE746" s="1" t="inlineStr">
        <is>
          <t>офсетная</t>
        </is>
      </c>
      <c r="AG746" s="1" t="n">
        <v>11801080</v>
      </c>
      <c r="AI746" s="1" t="inlineStr">
        <is>
          <t>4901990000</t>
        </is>
      </c>
    </row>
    <row r="747" customFormat="1" s="1">
      <c r="C747" s="1" t="inlineStr">
        <is>
          <t xml:space="preserve">11799590            </t>
        </is>
      </c>
      <c r="D747" s="1" t="inlineStr">
        <is>
          <t>Любимые книги</t>
        </is>
      </c>
      <c r="E747" s="1" t="inlineStr">
        <is>
          <t>Чайный дворец. Херман Э.</t>
        </is>
      </c>
      <c r="F747" s="13" t="inlineStr">
        <is>
          <t>См.обл.</t>
        </is>
      </c>
      <c r="G747" s="1" t="inlineStr">
        <is>
          <t>Херман Э.</t>
        </is>
      </c>
      <c r="H747" s="1" t="inlineStr">
        <is>
          <t>60х90/16</t>
        </is>
      </c>
      <c r="I747" s="1" t="n">
        <v>592</v>
      </c>
      <c r="J747" s="1" t="inlineStr">
        <is>
          <t>РИПОЛ Классик</t>
        </is>
      </c>
      <c r="M747" s="1" t="inlineStr">
        <is>
          <t>2025</t>
        </is>
      </c>
      <c r="N747" s="1" t="inlineStr">
        <is>
          <t>П</t>
        </is>
      </c>
      <c r="O747" s="9" t="n">
        <v>4</v>
      </c>
      <c r="P747" s="1">
        <f>ROUNDUP(1250*(1-$F$3),2)</f>
        <v/>
      </c>
      <c r="Q747" s="1" t="inlineStr">
        <is>
          <t> </t>
        </is>
      </c>
      <c r="R747" s="1" t="inlineStr">
        <is>
          <t>978-5-386-15464-6</t>
        </is>
      </c>
      <c r="S747" s="1" t="inlineStr">
        <is>
          <t>9785386154646</t>
        </is>
      </c>
      <c r="T747" s="9" t="n">
        <v>22</v>
      </c>
      <c r="U747" s="1">
        <f>ROUNDUP(1024.59*(1-$F$3),2)</f>
        <v/>
      </c>
      <c r="V747" s="1" t="n">
        <v>649</v>
      </c>
      <c r="Y747" s="1" t="inlineStr">
        <is>
          <t>Чайный дворец</t>
        </is>
      </c>
      <c r="Z747" s="1" t="inlineStr">
        <is>
          <t>18+</t>
        </is>
      </c>
      <c r="AA747" s="12" t="n">
        <v>45883</v>
      </c>
      <c r="AB747" s="1" t="inlineStr">
        <is>
          <t>Художественная литература</t>
        </is>
      </c>
      <c r="AC747" s="1" t="inlineStr">
        <is>
          <t>Зарубежная литература</t>
        </is>
      </c>
      <c r="AD747" s="1" t="inlineStr">
        <is>
          <t>Европейская литература</t>
        </is>
      </c>
      <c r="AE747" s="1" t="inlineStr">
        <is>
          <t>офсетная</t>
        </is>
      </c>
      <c r="AG747" s="1" t="n">
        <v>11799590</v>
      </c>
      <c r="AI747" s="1" t="inlineStr">
        <is>
          <t>4901990000</t>
        </is>
      </c>
    </row>
    <row r="748" customFormat="1" s="1">
      <c r="C748" s="1" t="inlineStr">
        <is>
          <t xml:space="preserve">8897170             </t>
        </is>
      </c>
      <c r="D748" s="1" t="inlineStr">
        <is>
          <t>Любимые книги детства</t>
        </is>
      </c>
      <c r="E748" s="1" t="inlineStr">
        <is>
          <t>Огненный Бог Марранов: сказочная повесть. Волков А.М.</t>
        </is>
      </c>
      <c r="F748" s="13" t="inlineStr">
        <is>
          <t>См.обл.</t>
        </is>
      </c>
      <c r="G748" s="1" t="inlineStr">
        <is>
          <t>Волков А.М.</t>
        </is>
      </c>
      <c r="H748" s="1" t="inlineStr">
        <is>
          <t>84х108/32</t>
        </is>
      </c>
      <c r="I748" s="1" t="n">
        <v>192</v>
      </c>
      <c r="J748" s="1" t="inlineStr">
        <is>
          <t>РИПОЛ Классик</t>
        </is>
      </c>
      <c r="K748" s="1" t="inlineStr">
        <is>
          <t>Кит</t>
        </is>
      </c>
      <c r="M748" s="1" t="inlineStr">
        <is>
          <t>2019</t>
        </is>
      </c>
      <c r="N748" s="1" t="inlineStr">
        <is>
          <t>П</t>
        </is>
      </c>
      <c r="O748" s="9" t="n">
        <v>14</v>
      </c>
      <c r="P748" s="1">
        <f>ROUNDUP(242.5*(1-$F$3),2)</f>
        <v/>
      </c>
      <c r="Q748" s="1" t="inlineStr">
        <is>
          <t> </t>
        </is>
      </c>
      <c r="R748" s="1" t="inlineStr">
        <is>
          <t>978-5-386-12213-3</t>
        </is>
      </c>
      <c r="S748" s="1" t="inlineStr">
        <is>
          <t>9785386122133</t>
        </is>
      </c>
      <c r="T748" s="9" t="n">
        <v>10</v>
      </c>
      <c r="U748" s="1">
        <f>ROUNDUP(220.45*(1-$F$3),2)</f>
        <v/>
      </c>
      <c r="V748" s="1" t="n">
        <v>278</v>
      </c>
      <c r="Y748" s="1" t="inlineStr">
        <is>
          <t>Огненный Бог Марранов: сказочная повесть</t>
        </is>
      </c>
      <c r="Z748" s="1" t="inlineStr">
        <is>
          <t>12+</t>
        </is>
      </c>
      <c r="AA748" s="12" t="n">
        <v>43463</v>
      </c>
      <c r="AB748" s="1" t="inlineStr">
        <is>
          <t>Детская литература</t>
        </is>
      </c>
      <c r="AC748" s="1" t="inlineStr">
        <is>
          <t>Художественная литература</t>
        </is>
      </c>
      <c r="AD748" s="1" t="inlineStr">
        <is>
          <t>Литературная сказка</t>
        </is>
      </c>
      <c r="AE748" s="1" t="inlineStr">
        <is>
          <t>офсетная</t>
        </is>
      </c>
      <c r="AG748" s="1" t="n">
        <v>8897170</v>
      </c>
      <c r="AI748" s="1" t="inlineStr">
        <is>
          <t>4901990000</t>
        </is>
      </c>
    </row>
    <row r="749" customFormat="1" s="1">
      <c r="C749" s="1" t="inlineStr">
        <is>
          <t xml:space="preserve">8897460             </t>
        </is>
      </c>
      <c r="D749" s="1" t="inlineStr">
        <is>
          <t>Любимые книги детства</t>
        </is>
      </c>
      <c r="E749" s="1" t="inlineStr">
        <is>
          <t>Приключения капитана Врунгеля: повесть. Некрасов А.С.</t>
        </is>
      </c>
      <c r="F749" s="13" t="inlineStr">
        <is>
          <t>См.обл.</t>
        </is>
      </c>
      <c r="G749" s="1" t="inlineStr">
        <is>
          <t>Некрасов А.С.</t>
        </is>
      </c>
      <c r="H749" s="1" t="inlineStr">
        <is>
          <t>84х108/32</t>
        </is>
      </c>
      <c r="I749" s="1" t="n">
        <v>191</v>
      </c>
      <c r="J749" s="1" t="inlineStr">
        <is>
          <t>РИПОЛ Классик</t>
        </is>
      </c>
      <c r="K749" s="1" t="inlineStr">
        <is>
          <t>Кит</t>
        </is>
      </c>
      <c r="M749" s="1" t="inlineStr">
        <is>
          <t>2019</t>
        </is>
      </c>
      <c r="N749" s="1" t="inlineStr">
        <is>
          <t>П</t>
        </is>
      </c>
      <c r="O749" s="9" t="n">
        <v>14</v>
      </c>
      <c r="P749" s="1">
        <f>ROUNDUP(242.5*(1-$F$3),2)</f>
        <v/>
      </c>
      <c r="Q749" s="1" t="inlineStr">
        <is>
          <t> </t>
        </is>
      </c>
      <c r="R749" s="1" t="inlineStr">
        <is>
          <t>978-5-386-12307-9</t>
        </is>
      </c>
      <c r="S749" s="1" t="inlineStr">
        <is>
          <t>9785386123079</t>
        </is>
      </c>
      <c r="T749" s="9" t="n">
        <v>10</v>
      </c>
      <c r="U749" s="1">
        <f>ROUNDUP(220.45*(1-$F$3),2)</f>
        <v/>
      </c>
      <c r="V749" s="1" t="n">
        <v>276</v>
      </c>
      <c r="Y749" s="1" t="inlineStr">
        <is>
          <t>Приключения капитана Врунгеля: повесть</t>
        </is>
      </c>
      <c r="Z749" s="1" t="inlineStr">
        <is>
          <t>12+</t>
        </is>
      </c>
      <c r="AA749" s="12" t="n">
        <v>43463</v>
      </c>
      <c r="AB749" s="1" t="inlineStr">
        <is>
          <t>Детская литература</t>
        </is>
      </c>
      <c r="AC749" s="1" t="inlineStr">
        <is>
          <t>Художественная литература</t>
        </is>
      </c>
      <c r="AD749" s="1" t="inlineStr">
        <is>
          <t>Приключения</t>
        </is>
      </c>
      <c r="AE749" s="1" t="inlineStr">
        <is>
          <t>офсетная</t>
        </is>
      </c>
      <c r="AG749" s="1" t="n">
        <v>8897460</v>
      </c>
      <c r="AI749" s="1" t="inlineStr">
        <is>
          <t>4901990000</t>
        </is>
      </c>
    </row>
    <row r="750" customFormat="1" s="1">
      <c r="C750" s="1" t="inlineStr">
        <is>
          <t xml:space="preserve">8897150             </t>
        </is>
      </c>
      <c r="D750" s="1" t="inlineStr">
        <is>
          <t>Любимые книги детства</t>
        </is>
      </c>
      <c r="E750" s="1" t="inlineStr">
        <is>
          <t>Урфин Джюс и его деревянные солдаты: сказочная повесть. Волков А.М.</t>
        </is>
      </c>
      <c r="F750" s="13" t="inlineStr">
        <is>
          <t>См.обл.</t>
        </is>
      </c>
      <c r="G750" s="1" t="inlineStr">
        <is>
          <t>Волков А.М.</t>
        </is>
      </c>
      <c r="H750" s="1" t="inlineStr">
        <is>
          <t>84х108/32</t>
        </is>
      </c>
      <c r="I750" s="1" t="n">
        <v>208</v>
      </c>
      <c r="J750" s="1" t="inlineStr">
        <is>
          <t>РИПОЛ Классик</t>
        </is>
      </c>
      <c r="K750" s="1" t="inlineStr">
        <is>
          <t>Кит</t>
        </is>
      </c>
      <c r="M750" s="1" t="inlineStr">
        <is>
          <t>2019</t>
        </is>
      </c>
      <c r="N750" s="1" t="inlineStr">
        <is>
          <t>П</t>
        </is>
      </c>
      <c r="O750" s="9" t="n">
        <v>14</v>
      </c>
      <c r="P750" s="1">
        <f>ROUNDUP(242.5*(1-$F$3),2)</f>
        <v/>
      </c>
      <c r="Q750" s="1" t="inlineStr">
        <is>
          <t> </t>
        </is>
      </c>
      <c r="R750" s="1" t="inlineStr">
        <is>
          <t>978-5-386-12206-5</t>
        </is>
      </c>
      <c r="S750" s="1" t="inlineStr">
        <is>
          <t>9785386122065</t>
        </is>
      </c>
      <c r="T750" s="9" t="n">
        <v>10</v>
      </c>
      <c r="U750" s="1">
        <f>ROUNDUP(220.45*(1-$F$3),2)</f>
        <v/>
      </c>
      <c r="V750" s="1" t="n">
        <v>296</v>
      </c>
      <c r="Y750" s="1" t="inlineStr">
        <is>
          <t>Урфин Джюс и его деревянные солдаты: сказочная повесть</t>
        </is>
      </c>
      <c r="Z750" s="1" t="inlineStr">
        <is>
          <t>12+</t>
        </is>
      </c>
      <c r="AA750" s="12" t="n">
        <v>43463</v>
      </c>
      <c r="AB750" s="1" t="inlineStr">
        <is>
          <t>Детская литература</t>
        </is>
      </c>
      <c r="AC750" s="1" t="inlineStr">
        <is>
          <t>Художественная литература</t>
        </is>
      </c>
      <c r="AD750" s="1" t="inlineStr">
        <is>
          <t>Литературная сказка</t>
        </is>
      </c>
      <c r="AE750" s="1" t="inlineStr">
        <is>
          <t>офсетная</t>
        </is>
      </c>
      <c r="AG750" s="1" t="n">
        <v>8897150</v>
      </c>
      <c r="AI750" s="1" t="inlineStr">
        <is>
          <t>4901990000</t>
        </is>
      </c>
    </row>
    <row r="751" customFormat="1" s="1">
      <c r="C751" s="1" t="inlineStr">
        <is>
          <t xml:space="preserve">9728970             </t>
        </is>
      </c>
      <c r="D751" s="1" t="inlineStr">
        <is>
          <t>Магический помощник</t>
        </is>
      </c>
      <c r="E751" s="1" t="inlineStr">
        <is>
          <t xml:space="preserve">Классическое Таро. </t>
        </is>
      </c>
      <c r="F751" s="13" t="inlineStr">
        <is>
          <t>См.обл.</t>
        </is>
      </c>
      <c r="H751" s="1" t="inlineStr">
        <is>
          <t>84х108/32</t>
        </is>
      </c>
      <c r="I751" s="1" t="n">
        <v>78</v>
      </c>
      <c r="J751" s="1" t="inlineStr">
        <is>
          <t>РИПОЛ Классик</t>
        </is>
      </c>
      <c r="M751" s="1" t="inlineStr">
        <is>
          <t>2021</t>
        </is>
      </c>
      <c r="N751" s="1" t="inlineStr">
        <is>
          <t>П</t>
        </is>
      </c>
      <c r="O751" s="9" t="n">
        <v>75</v>
      </c>
      <c r="P751" s="1">
        <f>ROUNDUP(825*(1-$F$3),2)</f>
        <v/>
      </c>
      <c r="Q751" s="1" t="inlineStr">
        <is>
          <t> </t>
        </is>
      </c>
      <c r="R751" s="1" t="inlineStr">
        <is>
          <t>978-5-386-14186-8</t>
        </is>
      </c>
      <c r="S751" s="1" t="inlineStr">
        <is>
          <t>9785386141868</t>
        </is>
      </c>
      <c r="T751" s="9" t="n">
        <v>22</v>
      </c>
      <c r="U751" s="1">
        <f>ROUNDUP(676.23*(1-$F$3),2)</f>
        <v/>
      </c>
      <c r="V751" s="1" t="n">
        <v>183</v>
      </c>
      <c r="Y751" s="1" t="inlineStr">
        <is>
          <t>Классическое Таро</t>
        </is>
      </c>
      <c r="Z751" s="1" t="inlineStr">
        <is>
          <t>16+</t>
        </is>
      </c>
      <c r="AA751" s="12" t="n">
        <v>44398</v>
      </c>
      <c r="AB751" s="1" t="inlineStr">
        <is>
          <t>Религии. Эзотерика. Оккультизм</t>
        </is>
      </c>
      <c r="AC751" s="1" t="inlineStr">
        <is>
          <t>Эзотерика. Парапсихология. Тайны</t>
        </is>
      </c>
      <c r="AD751" s="1" t="inlineStr">
        <is>
          <t>Гадания. Толкование снов. Тайны имени</t>
        </is>
      </c>
      <c r="AE751" s="1" t="inlineStr">
        <is>
          <t>картон</t>
        </is>
      </c>
      <c r="AG751" s="1" t="n">
        <v>9728970</v>
      </c>
      <c r="AI751" s="1" t="inlineStr">
        <is>
          <t>4901100000</t>
        </is>
      </c>
    </row>
    <row r="752" customFormat="1" s="1">
      <c r="C752" s="1" t="inlineStr">
        <is>
          <t xml:space="preserve">12236910            </t>
        </is>
      </c>
      <c r="D752" s="1" t="inlineStr">
        <is>
          <t>Маршрут построен. Россия</t>
        </is>
      </c>
      <c r="E752" s="1" t="inlineStr">
        <is>
          <t>По маршрутам Владимира Даля с пословицами и поговорками: путешествие-квиз. Никитина Т.Г., Рогалева Е.И.</t>
        </is>
      </c>
      <c r="F752" s="13" t="inlineStr">
        <is>
          <t>См.обл.</t>
        </is>
      </c>
      <c r="G752" s="1" t="inlineStr">
        <is>
          <t>Никитина Т.Г., Рогалева Е.И.</t>
        </is>
      </c>
      <c r="H752" s="1" t="inlineStr">
        <is>
          <t>60х90/16</t>
        </is>
      </c>
      <c r="I752" s="1" t="n">
        <v>192</v>
      </c>
      <c r="J752" s="1" t="inlineStr">
        <is>
          <t>РИПОЛ Классик</t>
        </is>
      </c>
      <c r="M752" s="1" t="inlineStr">
        <is>
          <t>2026</t>
        </is>
      </c>
      <c r="N752" s="1" t="inlineStr">
        <is>
          <t>П</t>
        </is>
      </c>
      <c r="O752" s="9" t="n">
        <v>16</v>
      </c>
      <c r="P752" s="1">
        <f>ROUNDUP(850*(1-$F$3),2)</f>
        <v/>
      </c>
      <c r="Q752" s="1" t="inlineStr">
        <is>
          <t> </t>
        </is>
      </c>
      <c r="R752" s="1" t="inlineStr">
        <is>
          <t>978-5-386-15638-1</t>
        </is>
      </c>
      <c r="S752" s="1" t="inlineStr">
        <is>
          <t>9785386156381</t>
        </is>
      </c>
      <c r="T752" s="9" t="n">
        <v>10</v>
      </c>
      <c r="U752" s="1">
        <f>ROUNDUP(772.73*(1-$F$3),2)</f>
        <v/>
      </c>
      <c r="V752" s="1" t="n">
        <v>334</v>
      </c>
      <c r="Y752" s="1" t="inlineStr">
        <is>
          <t>По маршрутам Владимира Даля с пословицами и поговорками: путешествие-квиз</t>
        </is>
      </c>
      <c r="Z752" s="1" t="inlineStr">
        <is>
          <t>12+</t>
        </is>
      </c>
      <c r="AA752" s="12" t="n">
        <v>46244</v>
      </c>
      <c r="AB752" s="1" t="inlineStr">
        <is>
          <t>Детская литература</t>
        </is>
      </c>
      <c r="AC752" s="1" t="inlineStr">
        <is>
          <t>Познавательная литература для детей</t>
        </is>
      </c>
      <c r="AD752" s="1" t="inlineStr">
        <is>
          <t>Русский язык. Литература</t>
        </is>
      </c>
      <c r="AE752" s="1" t="inlineStr">
        <is>
          <t>офсетная</t>
        </is>
      </c>
      <c r="AG752" s="1" t="n">
        <v>12236910</v>
      </c>
      <c r="AI752" s="1" t="inlineStr">
        <is>
          <t>4901990000</t>
        </is>
      </c>
    </row>
    <row r="753" customFormat="1" s="1">
      <c r="C753" s="1" t="inlineStr">
        <is>
          <t xml:space="preserve">9859800             </t>
        </is>
      </c>
      <c r="D753" s="1" t="inlineStr">
        <is>
          <t>Медитация для мужчин</t>
        </is>
      </c>
      <c r="E753" s="1" t="inlineStr">
        <is>
          <t>Песни Мальдорора. Стихотворения. Лотреамон</t>
        </is>
      </c>
      <c r="F753" s="13" t="inlineStr">
        <is>
          <t>См.обл.</t>
        </is>
      </c>
      <c r="G753" s="1" t="inlineStr">
        <is>
          <t>Лотреамон</t>
        </is>
      </c>
      <c r="H753" s="1" t="inlineStr">
        <is>
          <t>84х108/32</t>
        </is>
      </c>
      <c r="I753" s="1" t="n">
        <v>384</v>
      </c>
      <c r="J753" s="1" t="inlineStr">
        <is>
          <t>РИПОЛ Классик</t>
        </is>
      </c>
      <c r="M753" s="1" t="inlineStr">
        <is>
          <t>2026</t>
        </is>
      </c>
      <c r="N753" s="1" t="inlineStr">
        <is>
          <t>П</t>
        </is>
      </c>
      <c r="O753" s="9" t="n">
        <v>10</v>
      </c>
      <c r="P753" s="1">
        <f>ROUNDUP(1190*(1-$F$3),2)</f>
        <v/>
      </c>
      <c r="Q753" s="1" t="inlineStr">
        <is>
          <t> </t>
        </is>
      </c>
      <c r="R753" s="1" t="inlineStr">
        <is>
          <t>978-5-386-14516-3</t>
        </is>
      </c>
      <c r="S753" s="1" t="inlineStr">
        <is>
          <t>9785386145163</t>
        </is>
      </c>
      <c r="T753" s="9" t="n">
        <v>22</v>
      </c>
      <c r="U753" s="1">
        <f>ROUNDUP(975.41*(1-$F$3),2)</f>
        <v/>
      </c>
      <c r="V753" s="1" t="n">
        <v>421</v>
      </c>
      <c r="Y753" s="1" t="inlineStr">
        <is>
          <t>Песни Мальдорора. Стихотворения</t>
        </is>
      </c>
      <c r="Z753" s="1" t="inlineStr">
        <is>
          <t>18+</t>
        </is>
      </c>
      <c r="AA753" s="12" t="n">
        <v>44511</v>
      </c>
      <c r="AB753" s="1" t="inlineStr">
        <is>
          <t>Художественная литература</t>
        </is>
      </c>
      <c r="AC753" s="1" t="inlineStr">
        <is>
          <t>Зарубежная литература</t>
        </is>
      </c>
      <c r="AD753" s="1" t="inlineStr">
        <is>
          <t>Европейская литература</t>
        </is>
      </c>
      <c r="AE753" s="1" t="inlineStr">
        <is>
          <t>офсетная</t>
        </is>
      </c>
      <c r="AG753" s="1" t="n">
        <v>9859800</v>
      </c>
      <c r="AI753" s="1" t="inlineStr">
        <is>
          <t>4901990000</t>
        </is>
      </c>
    </row>
    <row r="754" customFormat="1" s="1">
      <c r="C754" s="1" t="inlineStr">
        <is>
          <t xml:space="preserve">9725200             </t>
        </is>
      </c>
      <c r="D754" s="1" t="inlineStr">
        <is>
          <t>Метапроза</t>
        </is>
      </c>
      <c r="E754" s="1" t="inlineStr">
        <is>
          <t>Приговоренный дар. Избранное. Сибирцев С.Ю.</t>
        </is>
      </c>
      <c r="F754" s="13" t="inlineStr">
        <is>
          <t>См.обл.</t>
        </is>
      </c>
      <c r="G754" s="1" t="inlineStr">
        <is>
          <t>Сибирцев С.Ю.</t>
        </is>
      </c>
      <c r="H754" s="1" t="inlineStr">
        <is>
          <t>60х90/16</t>
        </is>
      </c>
      <c r="I754" s="1" t="n">
        <v>466</v>
      </c>
      <c r="J754" s="1" t="inlineStr">
        <is>
          <t>РИПОЛ Классик</t>
        </is>
      </c>
      <c r="M754" s="1" t="inlineStr">
        <is>
          <t>2021</t>
        </is>
      </c>
      <c r="N754" s="1" t="inlineStr">
        <is>
          <t>П</t>
        </is>
      </c>
      <c r="O754" s="9" t="n">
        <v>10</v>
      </c>
      <c r="P754" s="1">
        <f>ROUNDUP(1310*(1-$F$3),2)</f>
        <v/>
      </c>
      <c r="Q754" s="1" t="inlineStr">
        <is>
          <t> </t>
        </is>
      </c>
      <c r="R754" s="1" t="inlineStr">
        <is>
          <t>978-5-386-14316-9</t>
        </is>
      </c>
      <c r="S754" s="1" t="inlineStr">
        <is>
          <t>9785386143169</t>
        </is>
      </c>
      <c r="T754" s="9" t="n">
        <v>10</v>
      </c>
      <c r="U754" s="1">
        <f>ROUNDUP(1190.91*(1-$F$3),2)</f>
        <v/>
      </c>
      <c r="V754" s="1" t="n">
        <v>593</v>
      </c>
      <c r="Y754" s="1" t="inlineStr">
        <is>
          <t>Приговоренный дар. Избранное</t>
        </is>
      </c>
      <c r="Z754" s="1" t="inlineStr">
        <is>
          <t>18+</t>
        </is>
      </c>
      <c r="AA754" s="12" t="n">
        <v>44347</v>
      </c>
      <c r="AB754" s="1" t="inlineStr">
        <is>
          <t>Художественная литература</t>
        </is>
      </c>
      <c r="AC754" s="1" t="inlineStr">
        <is>
          <t>Русская литература</t>
        </is>
      </c>
      <c r="AD754" s="1" t="inlineStr">
        <is>
          <t>Современная литература</t>
        </is>
      </c>
      <c r="AE754" s="1" t="inlineStr">
        <is>
          <t>офсетная</t>
        </is>
      </c>
      <c r="AG754" s="1" t="n">
        <v>9725200</v>
      </c>
      <c r="AI754" s="1" t="inlineStr">
        <is>
          <t>4901990000</t>
        </is>
      </c>
      <c r="AJ754" s="1" t="inlineStr">
        <is>
          <t>Зпв</t>
        </is>
      </c>
    </row>
    <row r="755" customFormat="1" s="1">
      <c r="C755" s="1" t="inlineStr">
        <is>
          <t xml:space="preserve">8570600             </t>
        </is>
      </c>
      <c r="D755" s="1" t="inlineStr">
        <is>
          <t>Методики воспитания</t>
        </is>
      </c>
      <c r="E755" s="1" t="inlineStr">
        <is>
          <t>10 шагов навстречу ребенку. Катин-Ярцева И.</t>
        </is>
      </c>
      <c r="F755" s="13" t="inlineStr">
        <is>
          <t>См.обл.</t>
        </is>
      </c>
      <c r="G755" s="1" t="inlineStr">
        <is>
          <t>Катин-Ярцева И.</t>
        </is>
      </c>
      <c r="H755" s="1" t="inlineStr">
        <is>
          <t>84х108/32</t>
        </is>
      </c>
      <c r="I755" s="1" t="n">
        <v>210</v>
      </c>
      <c r="J755" s="1" t="inlineStr">
        <is>
          <t>РИПОЛ Классик</t>
        </is>
      </c>
      <c r="M755" s="1" t="inlineStr">
        <is>
          <t>2018</t>
        </is>
      </c>
      <c r="N755" s="1" t="inlineStr">
        <is>
          <t>П</t>
        </is>
      </c>
      <c r="O755" s="9" t="n">
        <v>16</v>
      </c>
      <c r="P755" s="1">
        <f>ROUNDUP(956.8*(1-$F$3),2)</f>
        <v/>
      </c>
      <c r="Q755" s="1" t="inlineStr">
        <is>
          <t> </t>
        </is>
      </c>
      <c r="R755" s="1" t="inlineStr">
        <is>
          <t>978-5-386-10595-2</t>
        </is>
      </c>
      <c r="S755" s="1" t="inlineStr">
        <is>
          <t>9785386105952</t>
        </is>
      </c>
      <c r="T755" s="9" t="n">
        <v>10</v>
      </c>
      <c r="U755" s="1">
        <f>ROUNDUP(869.82*(1-$F$3),2)</f>
        <v/>
      </c>
      <c r="V755" s="1" t="n">
        <v>315</v>
      </c>
      <c r="Y755" s="1" t="inlineStr">
        <is>
          <t>10 шагов навстречу ребенку</t>
        </is>
      </c>
      <c r="Z755" s="1" t="inlineStr">
        <is>
          <t>16+</t>
        </is>
      </c>
      <c r="AA755" s="12" t="n">
        <v>43185</v>
      </c>
      <c r="AB755" s="1" t="inlineStr">
        <is>
          <t>Детская литература</t>
        </is>
      </c>
      <c r="AC755" s="1" t="inlineStr">
        <is>
          <t>Книги для родителей</t>
        </is>
      </c>
      <c r="AD755" s="1" t="inlineStr">
        <is>
          <t>Психология для родителей. Семейное воспитание</t>
        </is>
      </c>
      <c r="AE755" s="1" t="inlineStr">
        <is>
          <t>офсетная</t>
        </is>
      </c>
      <c r="AG755" s="1" t="n">
        <v>8570600</v>
      </c>
      <c r="AI755" s="1" t="inlineStr">
        <is>
          <t>4901990000</t>
        </is>
      </c>
    </row>
    <row r="756" customFormat="1" s="1">
      <c r="C756" s="1" t="inlineStr">
        <is>
          <t xml:space="preserve">8998820             </t>
        </is>
      </c>
      <c r="D756" s="1" t="inlineStr">
        <is>
          <t>Мир Игры Престолов</t>
        </is>
      </c>
      <c r="E756" s="1" t="inlineStr">
        <is>
          <t>Античный мир "Игры Престолов". Лушкау А.</t>
        </is>
      </c>
      <c r="F756" s="13" t="inlineStr">
        <is>
          <t>См.обл.</t>
        </is>
      </c>
      <c r="G756" s="1" t="inlineStr">
        <is>
          <t>Лушкау А.</t>
        </is>
      </c>
      <c r="H756" s="1" t="inlineStr">
        <is>
          <t>60х90/16</t>
        </is>
      </c>
      <c r="I756" s="1" t="n">
        <v>311</v>
      </c>
      <c r="J756" s="1" t="inlineStr">
        <is>
          <t>РИПОЛ Классик</t>
        </is>
      </c>
      <c r="K756" s="1" t="inlineStr">
        <is>
          <t>Пальмира</t>
        </is>
      </c>
      <c r="M756" s="1" t="inlineStr">
        <is>
          <t>2019</t>
        </is>
      </c>
      <c r="N756" s="1" t="inlineStr">
        <is>
          <t>О</t>
        </is>
      </c>
      <c r="O756" s="9" t="n">
        <v>12</v>
      </c>
      <c r="P756" s="1">
        <f>ROUNDUP(942.2*(1-$F$3),2)</f>
        <v/>
      </c>
      <c r="Q756" s="1" t="inlineStr">
        <is>
          <t> </t>
        </is>
      </c>
      <c r="R756" s="1" t="inlineStr">
        <is>
          <t>978-5-386-12553-0</t>
        </is>
      </c>
      <c r="S756" s="1" t="inlineStr">
        <is>
          <t>9785386125530</t>
        </is>
      </c>
      <c r="T756" s="9" t="n">
        <v>10</v>
      </c>
      <c r="U756" s="1">
        <f>ROUNDUP(856.55*(1-$F$3),2)</f>
        <v/>
      </c>
      <c r="V756" s="1" t="n">
        <v>341</v>
      </c>
      <c r="Y756" s="1" t="inlineStr">
        <is>
          <t>Античный мир "Игры Престолов"</t>
        </is>
      </c>
      <c r="Z756" s="1" t="inlineStr">
        <is>
          <t>16+</t>
        </is>
      </c>
      <c r="AA756" s="12" t="n">
        <v>43560</v>
      </c>
      <c r="AB756" s="1" t="inlineStr">
        <is>
          <t>Художественная литература</t>
        </is>
      </c>
      <c r="AC756" s="1" t="inlineStr">
        <is>
          <t>Фантастика. Мистика. Ужасы</t>
        </is>
      </c>
      <c r="AD756" s="1" t="inlineStr">
        <is>
          <t>Зарубежная фантастика</t>
        </is>
      </c>
      <c r="AE756" s="1" t="inlineStr">
        <is>
          <t>офсетная</t>
        </is>
      </c>
      <c r="AG756" s="1" t="n">
        <v>8998820</v>
      </c>
      <c r="AI756" s="1" t="inlineStr">
        <is>
          <t>4901990000</t>
        </is>
      </c>
    </row>
    <row r="757" customFormat="1" s="1">
      <c r="C757" s="1" t="inlineStr">
        <is>
          <t xml:space="preserve">7541800             </t>
        </is>
      </c>
      <c r="D757" s="1" t="inlineStr">
        <is>
          <t>Мир театра, кино и литературы</t>
        </is>
      </c>
      <c r="E757" s="1" t="inlineStr">
        <is>
          <t>Довлатов. Скелеты в шкафу. Соловьев В., Клепикова Е.</t>
        </is>
      </c>
      <c r="F757" s="13" t="inlineStr">
        <is>
          <t>См.обл.</t>
        </is>
      </c>
      <c r="G757" s="1" t="inlineStr">
        <is>
          <t>Соловьев В., Клепикова Е.</t>
        </is>
      </c>
      <c r="H757" s="1" t="inlineStr">
        <is>
          <t>60х90/16</t>
        </is>
      </c>
      <c r="I757" s="1" t="n">
        <v>352</v>
      </c>
      <c r="J757" s="1" t="inlineStr">
        <is>
          <t>РИПОЛ Классик</t>
        </is>
      </c>
      <c r="M757" s="1" t="inlineStr">
        <is>
          <t>2026</t>
        </is>
      </c>
      <c r="N757" s="1" t="inlineStr">
        <is>
          <t>П</t>
        </is>
      </c>
      <c r="O757" s="9" t="n">
        <v>10</v>
      </c>
      <c r="P757" s="1">
        <f>ROUNDUP(1190*(1-$F$3),2)</f>
        <v/>
      </c>
      <c r="Q757" s="1" t="inlineStr">
        <is>
          <t> </t>
        </is>
      </c>
      <c r="R757" s="1" t="inlineStr">
        <is>
          <t>978-5-386-09256-6</t>
        </is>
      </c>
      <c r="S757" s="1" t="inlineStr">
        <is>
          <t>9785386092566</t>
        </is>
      </c>
      <c r="T757" s="9" t="n">
        <v>10</v>
      </c>
      <c r="U757" s="1">
        <f>ROUNDUP(1081.82*(1-$F$3),2)</f>
        <v/>
      </c>
      <c r="V757" s="1" t="n">
        <v>446</v>
      </c>
      <c r="Y757" s="1" t="inlineStr">
        <is>
          <t>Довлатов. Скелеты в шкафу</t>
        </is>
      </c>
      <c r="Z757" s="1" t="inlineStr">
        <is>
          <t>16+</t>
        </is>
      </c>
      <c r="AA757" s="12" t="n">
        <v>42483</v>
      </c>
      <c r="AB757" s="1" t="inlineStr">
        <is>
          <t>Художественно-документальная проза</t>
        </is>
      </c>
      <c r="AC757" s="1" t="inlineStr">
        <is>
          <t>Биографии. Мемуары</t>
        </is>
      </c>
      <c r="AD757" s="1" t="inlineStr">
        <is>
          <t>Воспоминания. Дневники. Письма</t>
        </is>
      </c>
      <c r="AE757" s="1" t="inlineStr">
        <is>
          <t>офсетная</t>
        </is>
      </c>
      <c r="AG757" s="1" t="n">
        <v>7541800</v>
      </c>
      <c r="AI757" s="1" t="inlineStr">
        <is>
          <t>4901990000</t>
        </is>
      </c>
    </row>
    <row r="758" customFormat="1" s="1">
      <c r="C758" s="1" t="inlineStr">
        <is>
          <t>10631160</t>
        </is>
      </c>
      <c r="D758" s="1" t="inlineStr">
        <is>
          <t>Мировая история в лицах. Художники</t>
        </is>
      </c>
      <c r="E758" s="1" t="inlineStr">
        <is>
          <t>Карл Брюллов. Сост. Коноплева К.И.</t>
        </is>
      </c>
      <c r="F758" s="13" t="inlineStr">
        <is>
          <t>См.обл.</t>
        </is>
      </c>
      <c r="G758" s="1" t="inlineStr">
        <is>
          <t>Сост. Коноплева К.И.</t>
        </is>
      </c>
      <c r="H758" s="1" t="inlineStr">
        <is>
          <t>84х108/16</t>
        </is>
      </c>
      <c r="I758" s="1" t="n">
        <v>112</v>
      </c>
      <c r="J758" s="1" t="inlineStr">
        <is>
          <t>РИПОЛ Классик</t>
        </is>
      </c>
      <c r="M758" s="1" t="inlineStr">
        <is>
          <t>2024</t>
        </is>
      </c>
      <c r="N758" s="1" t="inlineStr">
        <is>
          <t>П</t>
        </is>
      </c>
      <c r="O758" s="9" t="n">
        <v>5</v>
      </c>
      <c r="P758" s="1">
        <f>ROUNDUP(1090*(1-$F$3),2)</f>
        <v/>
      </c>
      <c r="Q758" s="1" t="inlineStr">
        <is>
          <t> </t>
        </is>
      </c>
      <c r="R758" s="1" t="inlineStr">
        <is>
          <t>978-5-386-14901-7</t>
        </is>
      </c>
      <c r="S758" s="1" t="inlineStr">
        <is>
          <t>9785386149017</t>
        </is>
      </c>
      <c r="T758" s="9" t="n">
        <v>10</v>
      </c>
      <c r="U758" s="1">
        <f>ROUNDUP(990.91*(1-$F$3),2)</f>
        <v/>
      </c>
      <c r="V758" s="1" t="n">
        <v>499</v>
      </c>
      <c r="Y758" s="1" t="inlineStr">
        <is>
          <t>Карл Брюллов</t>
        </is>
      </c>
      <c r="Z758" s="1" t="inlineStr">
        <is>
          <t>16+</t>
        </is>
      </c>
      <c r="AA758" s="12" t="n">
        <v>44895</v>
      </c>
      <c r="AB758" s="1" t="inlineStr">
        <is>
          <t>Искусство</t>
        </is>
      </c>
      <c r="AC758" s="1" t="inlineStr">
        <is>
          <t>Изобразительное искусство. Архитектура</t>
        </is>
      </c>
      <c r="AD758" s="1" t="inlineStr">
        <is>
          <t>Изобразительное искусство</t>
        </is>
      </c>
      <c r="AE758" s="1" t="inlineStr">
        <is>
          <t>мелованная</t>
        </is>
      </c>
      <c r="AG758" s="1" t="n">
        <v>10631160</v>
      </c>
      <c r="AI758" s="1" t="inlineStr">
        <is>
          <t>4901990000</t>
        </is>
      </c>
    </row>
    <row r="759" customFormat="1" s="1">
      <c r="C759" s="1" t="inlineStr">
        <is>
          <t>11018880</t>
        </is>
      </c>
      <c r="D759" s="1" t="inlineStr">
        <is>
          <t>Мировая история в лицах. Художники</t>
        </is>
      </c>
      <c r="E759" s="1" t="inlineStr">
        <is>
          <t>Огюст Ренуар. Сост. Курилина А.А.</t>
        </is>
      </c>
      <c r="F759" s="13" t="inlineStr">
        <is>
          <t>См.обл.</t>
        </is>
      </c>
      <c r="G759" s="1" t="inlineStr">
        <is>
          <t>Сост. Курилина А.А.</t>
        </is>
      </c>
      <c r="H759" s="1" t="inlineStr">
        <is>
          <t>84х108/16</t>
        </is>
      </c>
      <c r="I759" s="1" t="n">
        <v>112</v>
      </c>
      <c r="J759" s="1" t="inlineStr">
        <is>
          <t>РИПОЛ Классик</t>
        </is>
      </c>
      <c r="M759" s="1" t="inlineStr">
        <is>
          <t>2024</t>
        </is>
      </c>
      <c r="N759" s="1" t="inlineStr">
        <is>
          <t>П</t>
        </is>
      </c>
      <c r="O759" s="9" t="n">
        <v>5</v>
      </c>
      <c r="P759" s="1">
        <f>ROUNDUP(1200*(1-$F$3),2)</f>
        <v/>
      </c>
      <c r="Q759" s="1" t="inlineStr">
        <is>
          <t> </t>
        </is>
      </c>
      <c r="R759" s="1" t="inlineStr">
        <is>
          <t>978-5-386-15059-4</t>
        </is>
      </c>
      <c r="S759" s="1" t="inlineStr">
        <is>
          <t>9785386150594</t>
        </is>
      </c>
      <c r="T759" s="9" t="n">
        <v>10</v>
      </c>
      <c r="U759" s="1">
        <f>ROUNDUP(1090.91*(1-$F$3),2)</f>
        <v/>
      </c>
      <c r="V759" s="1" t="n">
        <v>503</v>
      </c>
      <c r="Y759" s="1" t="inlineStr">
        <is>
          <t>Огюст Ренуар</t>
        </is>
      </c>
      <c r="Z759" s="1" t="inlineStr">
        <is>
          <t>16+</t>
        </is>
      </c>
      <c r="AA759" s="12" t="n">
        <v>45198</v>
      </c>
      <c r="AB759" s="1" t="inlineStr">
        <is>
          <t>Искусство</t>
        </is>
      </c>
      <c r="AC759" s="1" t="inlineStr">
        <is>
          <t>Изобразительное искусство. Архитектура</t>
        </is>
      </c>
      <c r="AD759" s="1" t="inlineStr">
        <is>
          <t>Изобразительное искусство</t>
        </is>
      </c>
      <c r="AE759" s="1" t="inlineStr">
        <is>
          <t>мелованная</t>
        </is>
      </c>
      <c r="AG759" s="1" t="n">
        <v>11018880</v>
      </c>
      <c r="AI759" s="1" t="inlineStr">
        <is>
          <t>4901990000</t>
        </is>
      </c>
    </row>
    <row r="760" customFormat="1" s="1">
      <c r="C760" s="1" t="inlineStr">
        <is>
          <t>11018900</t>
        </is>
      </c>
      <c r="D760" s="1" t="inlineStr">
        <is>
          <t>Мировая история в лицах. Художники</t>
        </is>
      </c>
      <c r="E760" s="1" t="inlineStr">
        <is>
          <t>Поль Гоген. Сост. Курилина А.А.</t>
        </is>
      </c>
      <c r="F760" s="13" t="inlineStr">
        <is>
          <t>См.обл.</t>
        </is>
      </c>
      <c r="G760" s="1" t="inlineStr">
        <is>
          <t>Сост. Курилина А.А.</t>
        </is>
      </c>
      <c r="H760" s="1" t="inlineStr">
        <is>
          <t>84х108/16</t>
        </is>
      </c>
      <c r="I760" s="1" t="n">
        <v>112</v>
      </c>
      <c r="J760" s="1" t="inlineStr">
        <is>
          <t>РИПОЛ Классик</t>
        </is>
      </c>
      <c r="M760" s="1" t="inlineStr">
        <is>
          <t>2024</t>
        </is>
      </c>
      <c r="N760" s="1" t="inlineStr">
        <is>
          <t>П</t>
        </is>
      </c>
      <c r="O760" s="9" t="n">
        <v>5</v>
      </c>
      <c r="P760" s="1">
        <f>ROUNDUP(1118*(1-$F$3),2)</f>
        <v/>
      </c>
      <c r="Q760" s="1" t="inlineStr">
        <is>
          <t> </t>
        </is>
      </c>
      <c r="R760" s="1" t="inlineStr">
        <is>
          <t>978-5-386-15061-7</t>
        </is>
      </c>
      <c r="S760" s="1" t="inlineStr">
        <is>
          <t>9785386150617</t>
        </is>
      </c>
      <c r="T760" s="9" t="n">
        <v>10</v>
      </c>
      <c r="U760" s="1">
        <f>ROUNDUP(1016.36*(1-$F$3),2)</f>
        <v/>
      </c>
      <c r="V760" s="1" t="n">
        <v>502</v>
      </c>
      <c r="Y760" s="1" t="inlineStr">
        <is>
          <t>Поль Гоген</t>
        </is>
      </c>
      <c r="Z760" s="1" t="inlineStr">
        <is>
          <t>16+</t>
        </is>
      </c>
      <c r="AA760" s="12" t="n">
        <v>45198</v>
      </c>
      <c r="AB760" s="1" t="inlineStr">
        <is>
          <t>Искусство</t>
        </is>
      </c>
      <c r="AC760" s="1" t="inlineStr">
        <is>
          <t>Изобразительное искусство. Архитектура</t>
        </is>
      </c>
      <c r="AD760" s="1" t="inlineStr">
        <is>
          <t>Изобразительное искусство</t>
        </is>
      </c>
      <c r="AE760" s="1" t="inlineStr">
        <is>
          <t>мелованная</t>
        </is>
      </c>
      <c r="AG760" s="1" t="n">
        <v>11018900</v>
      </c>
      <c r="AI760" s="1" t="inlineStr">
        <is>
          <t>4901990000</t>
        </is>
      </c>
    </row>
    <row r="761" customFormat="1" s="1">
      <c r="C761" s="1" t="inlineStr">
        <is>
          <t>11018950</t>
        </is>
      </c>
      <c r="D761" s="1" t="inlineStr">
        <is>
          <t>Мировая история в лицах. Художники</t>
        </is>
      </c>
      <c r="E761" s="1" t="inlineStr">
        <is>
          <t>Поль Сезанн. Сост. Курилина А.А.</t>
        </is>
      </c>
      <c r="F761" s="13" t="inlineStr">
        <is>
          <t>См.обл.</t>
        </is>
      </c>
      <c r="G761" s="1" t="inlineStr">
        <is>
          <t>Сост. Курилина А.А.</t>
        </is>
      </c>
      <c r="H761" s="1" t="inlineStr">
        <is>
          <t>84х108/16</t>
        </is>
      </c>
      <c r="I761" s="1" t="n">
        <v>112</v>
      </c>
      <c r="J761" s="1" t="inlineStr">
        <is>
          <t>РИПОЛ Классик</t>
        </is>
      </c>
      <c r="M761" s="1" t="inlineStr">
        <is>
          <t>2024</t>
        </is>
      </c>
      <c r="N761" s="1" t="inlineStr">
        <is>
          <t>П</t>
        </is>
      </c>
      <c r="O761" s="9" t="n">
        <v>5</v>
      </c>
      <c r="P761" s="1">
        <f>ROUNDUP(1118*(1-$F$3),2)</f>
        <v/>
      </c>
      <c r="Q761" s="1" t="inlineStr">
        <is>
          <t> </t>
        </is>
      </c>
      <c r="R761" s="1" t="inlineStr">
        <is>
          <t>978-5-386-15062-4</t>
        </is>
      </c>
      <c r="S761" s="1" t="inlineStr">
        <is>
          <t>9785386150624</t>
        </is>
      </c>
      <c r="T761" s="9" t="n">
        <v>10</v>
      </c>
      <c r="U761" s="1">
        <f>ROUNDUP(1016.36*(1-$F$3),2)</f>
        <v/>
      </c>
      <c r="V761" s="1" t="n">
        <v>502</v>
      </c>
      <c r="Y761" s="1" t="inlineStr">
        <is>
          <t>Поль Сезанн</t>
        </is>
      </c>
      <c r="Z761" s="1" t="inlineStr">
        <is>
          <t>16+</t>
        </is>
      </c>
      <c r="AA761" s="12" t="n">
        <v>45198</v>
      </c>
      <c r="AB761" s="1" t="inlineStr">
        <is>
          <t>Искусство</t>
        </is>
      </c>
      <c r="AC761" s="1" t="inlineStr">
        <is>
          <t>Изобразительное искусство. Архитектура</t>
        </is>
      </c>
      <c r="AD761" s="1" t="inlineStr">
        <is>
          <t>Изобразительное искусство</t>
        </is>
      </c>
      <c r="AE761" s="1" t="inlineStr">
        <is>
          <t>мелованная</t>
        </is>
      </c>
      <c r="AG761" s="1" t="n">
        <v>11018950</v>
      </c>
      <c r="AI761" s="1" t="inlineStr">
        <is>
          <t>4901990000</t>
        </is>
      </c>
    </row>
    <row r="762" customFormat="1" s="1">
      <c r="C762" s="1" t="inlineStr">
        <is>
          <t xml:space="preserve">8805590             </t>
        </is>
      </c>
      <c r="D762" s="1" t="inlineStr">
        <is>
          <t>Мировой бестселлер</t>
        </is>
      </c>
      <c r="E762" s="1" t="inlineStr">
        <is>
          <t>1793. История одного убийства: роман. Натт-о-Даг Н.</t>
        </is>
      </c>
      <c r="F762" s="13" t="inlineStr">
        <is>
          <t>См.обл.</t>
        </is>
      </c>
      <c r="G762" s="1" t="inlineStr">
        <is>
          <t>Натт-о-Даг Н.</t>
        </is>
      </c>
      <c r="H762" s="1" t="inlineStr">
        <is>
          <t>60х90/16</t>
        </is>
      </c>
      <c r="I762" s="1" t="n">
        <v>496</v>
      </c>
      <c r="J762" s="1" t="inlineStr">
        <is>
          <t>РИПОЛ Классик</t>
        </is>
      </c>
      <c r="K762" s="1" t="inlineStr">
        <is>
          <t>Пальмира</t>
        </is>
      </c>
      <c r="M762" s="1" t="inlineStr">
        <is>
          <t>2025</t>
        </is>
      </c>
      <c r="N762" s="1" t="inlineStr">
        <is>
          <t>П</t>
        </is>
      </c>
      <c r="O762" s="9" t="n">
        <v>5</v>
      </c>
      <c r="P762" s="1">
        <f>ROUNDUP(1520*(1-$F$3),2)</f>
        <v/>
      </c>
      <c r="Q762" s="1" t="inlineStr">
        <is>
          <t> </t>
        </is>
      </c>
      <c r="R762" s="1" t="inlineStr">
        <is>
          <t>978-5-386-12196-9</t>
        </is>
      </c>
      <c r="S762" s="1" t="inlineStr">
        <is>
          <t>9785386121969</t>
        </is>
      </c>
      <c r="T762" s="9" t="n">
        <v>22</v>
      </c>
      <c r="U762" s="1">
        <f>ROUNDUP(1245.9*(1-$F$3),2)</f>
        <v/>
      </c>
      <c r="V762" s="1" t="n">
        <v>576</v>
      </c>
      <c r="Y762" s="1" t="inlineStr">
        <is>
          <t>1793. История одного убийства: роман</t>
        </is>
      </c>
      <c r="Z762" s="1" t="inlineStr">
        <is>
          <t>18+</t>
        </is>
      </c>
      <c r="AA762" s="12" t="n">
        <v>43381</v>
      </c>
      <c r="AB762" s="1" t="inlineStr">
        <is>
          <t>Художественная литература</t>
        </is>
      </c>
      <c r="AC762" s="1" t="inlineStr">
        <is>
          <t>Детективы. Боевики. Триллеры</t>
        </is>
      </c>
      <c r="AD762" s="1" t="inlineStr">
        <is>
          <t>Зарубежный детектив</t>
        </is>
      </c>
      <c r="AE762" s="1" t="inlineStr">
        <is>
          <t>газетная</t>
        </is>
      </c>
      <c r="AG762" s="1" t="n">
        <v>8805590</v>
      </c>
      <c r="AI762" s="1" t="inlineStr">
        <is>
          <t>4901990000</t>
        </is>
      </c>
      <c r="AJ762" s="1" t="inlineStr">
        <is>
          <t>Зпв</t>
        </is>
      </c>
    </row>
    <row r="763" customFormat="1" s="1">
      <c r="C763" s="1" t="inlineStr">
        <is>
          <t xml:space="preserve">9448180             </t>
        </is>
      </c>
      <c r="D763" s="1" t="inlineStr">
        <is>
          <t>Мировой бестселлер</t>
        </is>
      </c>
      <c r="E763" s="1" t="inlineStr">
        <is>
          <t>1794. Натт-о-Даг Н.</t>
        </is>
      </c>
      <c r="F763" s="13" t="inlineStr">
        <is>
          <t>См.обл.</t>
        </is>
      </c>
      <c r="G763" s="1" t="inlineStr">
        <is>
          <t>Натт-о-Даг Н.</t>
        </is>
      </c>
      <c r="H763" s="1" t="inlineStr">
        <is>
          <t>60х90/16</t>
        </is>
      </c>
      <c r="I763" s="1" t="n">
        <v>640</v>
      </c>
      <c r="J763" s="1" t="inlineStr">
        <is>
          <t>РИПОЛ Классик</t>
        </is>
      </c>
      <c r="M763" s="1" t="inlineStr">
        <is>
          <t>2026</t>
        </is>
      </c>
      <c r="N763" s="1" t="inlineStr">
        <is>
          <t>П</t>
        </is>
      </c>
      <c r="O763" s="9" t="n">
        <v>6</v>
      </c>
      <c r="P763" s="1">
        <f>ROUNDUP(1290*(1-$F$3),2)</f>
        <v/>
      </c>
      <c r="Q763" s="1" t="inlineStr">
        <is>
          <t> </t>
        </is>
      </c>
      <c r="R763" s="1" t="inlineStr">
        <is>
          <t>978-5-386-13732-8</t>
        </is>
      </c>
      <c r="S763" s="1" t="inlineStr">
        <is>
          <t>9785386137328</t>
        </is>
      </c>
      <c r="T763" s="9" t="n">
        <v>10</v>
      </c>
      <c r="U763" s="1">
        <f>ROUNDUP(1172.73*(1-$F$3),2)</f>
        <v/>
      </c>
      <c r="V763" s="1" t="n">
        <v>677</v>
      </c>
      <c r="Y763" s="1" t="inlineStr">
        <is>
          <t>1794</t>
        </is>
      </c>
      <c r="Z763" s="1" t="inlineStr">
        <is>
          <t>18+</t>
        </is>
      </c>
      <c r="AA763" s="12" t="n">
        <v>44063</v>
      </c>
      <c r="AB763" s="1" t="inlineStr">
        <is>
          <t>Художественная литература</t>
        </is>
      </c>
      <c r="AC763" s="1" t="inlineStr">
        <is>
          <t>Детективы. Боевики. Триллеры</t>
        </is>
      </c>
      <c r="AD763" s="1" t="inlineStr">
        <is>
          <t>Зарубежный детектив</t>
        </is>
      </c>
      <c r="AE763" s="1" t="inlineStr">
        <is>
          <t>офсетная</t>
        </is>
      </c>
      <c r="AG763" s="1" t="n">
        <v>9448180</v>
      </c>
      <c r="AI763" s="1" t="inlineStr">
        <is>
          <t>4901990000</t>
        </is>
      </c>
      <c r="AJ763" s="1" t="inlineStr">
        <is>
          <t>Зпв</t>
        </is>
      </c>
    </row>
    <row r="764" customFormat="1" s="1">
      <c r="C764" s="1" t="inlineStr">
        <is>
          <t xml:space="preserve">9861000             </t>
        </is>
      </c>
      <c r="D764" s="1" t="inlineStr">
        <is>
          <t>Мировой бестселлер</t>
        </is>
      </c>
      <c r="E764" s="1" t="inlineStr">
        <is>
          <t>1795: роман. Натт-о-Даг Н.</t>
        </is>
      </c>
      <c r="F764" s="13" t="inlineStr">
        <is>
          <t>См.обл.</t>
        </is>
      </c>
      <c r="G764" s="1" t="inlineStr">
        <is>
          <t>Натт-о-Даг Н.</t>
        </is>
      </c>
      <c r="H764" s="1" t="inlineStr">
        <is>
          <t>60х90/16</t>
        </is>
      </c>
      <c r="I764" s="1" t="n">
        <v>528</v>
      </c>
      <c r="J764" s="1" t="inlineStr">
        <is>
          <t>РИПОЛ Классик</t>
        </is>
      </c>
      <c r="M764" s="1" t="inlineStr">
        <is>
          <t>2022</t>
        </is>
      </c>
      <c r="N764" s="1" t="inlineStr">
        <is>
          <t>П</t>
        </is>
      </c>
      <c r="O764" s="9" t="n">
        <v>10</v>
      </c>
      <c r="P764" s="1">
        <f>ROUNDUP(1390*(1-$F$3),2)</f>
        <v/>
      </c>
      <c r="Q764" s="1" t="inlineStr">
        <is>
          <t> </t>
        </is>
      </c>
      <c r="R764" s="1" t="inlineStr">
        <is>
          <t>978-5-386-14524-8</t>
        </is>
      </c>
      <c r="S764" s="1" t="inlineStr">
        <is>
          <t>9785386145248</t>
        </is>
      </c>
      <c r="T764" s="9" t="n">
        <v>10</v>
      </c>
      <c r="U764" s="1">
        <f>ROUNDUP(1263.64*(1-$F$3),2)</f>
        <v/>
      </c>
      <c r="V764" s="1" t="n">
        <v>609</v>
      </c>
      <c r="Y764" s="1" t="inlineStr">
        <is>
          <t>1795: роман</t>
        </is>
      </c>
      <c r="Z764" s="1" t="inlineStr">
        <is>
          <t>18+</t>
        </is>
      </c>
      <c r="AA764" s="12" t="n">
        <v>44478</v>
      </c>
      <c r="AB764" s="1" t="inlineStr">
        <is>
          <t>Художественная литература</t>
        </is>
      </c>
      <c r="AC764" s="1" t="inlineStr">
        <is>
          <t>Детективы. Боевики. Триллеры</t>
        </is>
      </c>
      <c r="AD764" s="1" t="inlineStr">
        <is>
          <t>Зарубежный детектив</t>
        </is>
      </c>
      <c r="AE764" s="1" t="inlineStr">
        <is>
          <t>офсетная</t>
        </is>
      </c>
      <c r="AG764" s="1" t="n">
        <v>9861000</v>
      </c>
      <c r="AI764" s="1" t="inlineStr">
        <is>
          <t>4901990000</t>
        </is>
      </c>
      <c r="AJ764" s="1" t="inlineStr">
        <is>
          <t>Зпв</t>
        </is>
      </c>
    </row>
    <row r="765" customFormat="1" s="1">
      <c r="C765" s="1" t="inlineStr">
        <is>
          <t xml:space="preserve">9767040             </t>
        </is>
      </c>
      <c r="D765" s="1" t="inlineStr">
        <is>
          <t>Мировой бестселлер</t>
        </is>
      </c>
      <c r="E765" s="1" t="inlineStr">
        <is>
          <t>Deadline. Альден Р.Э.</t>
        </is>
      </c>
      <c r="F765" s="13" t="inlineStr">
        <is>
          <t>См.обл.</t>
        </is>
      </c>
      <c r="G765" s="1" t="inlineStr">
        <is>
          <t>Альден Р.Э.</t>
        </is>
      </c>
      <c r="H765" s="1" t="inlineStr">
        <is>
          <t>84х108/32</t>
        </is>
      </c>
      <c r="I765" s="1" t="n">
        <v>400</v>
      </c>
      <c r="J765" s="1" t="inlineStr">
        <is>
          <t>РИПОЛ Классик</t>
        </is>
      </c>
      <c r="M765" s="1" t="inlineStr">
        <is>
          <t>2021</t>
        </is>
      </c>
      <c r="N765" s="1" t="inlineStr">
        <is>
          <t>П</t>
        </is>
      </c>
      <c r="O765" s="9" t="n">
        <v>8</v>
      </c>
      <c r="P765" s="1">
        <f>ROUNDUP(1240*(1-$F$3),2)</f>
        <v/>
      </c>
      <c r="Q765" s="1" t="inlineStr">
        <is>
          <t> </t>
        </is>
      </c>
      <c r="R765" s="1" t="inlineStr">
        <is>
          <t>978-5-386-14424-1</t>
        </is>
      </c>
      <c r="S765" s="1" t="inlineStr">
        <is>
          <t>9785386144241</t>
        </is>
      </c>
      <c r="T765" s="9" t="n">
        <v>10</v>
      </c>
      <c r="U765" s="1">
        <f>ROUNDUP(1127.27*(1-$F$3),2)</f>
        <v/>
      </c>
      <c r="V765" s="1" t="n">
        <v>405</v>
      </c>
      <c r="Y765" s="1" t="inlineStr">
        <is>
          <t>Deadline</t>
        </is>
      </c>
      <c r="Z765" s="1" t="inlineStr">
        <is>
          <t>18+</t>
        </is>
      </c>
      <c r="AA765" s="12" t="n">
        <v>44444</v>
      </c>
      <c r="AB765" s="1" t="inlineStr">
        <is>
          <t>Художественная литература</t>
        </is>
      </c>
      <c r="AC765" s="1" t="inlineStr">
        <is>
          <t>Детективы. Боевики. Триллеры</t>
        </is>
      </c>
      <c r="AD765" s="1" t="inlineStr">
        <is>
          <t>Триллеры</t>
        </is>
      </c>
      <c r="AE765" s="1" t="inlineStr">
        <is>
          <t>офсетная</t>
        </is>
      </c>
      <c r="AG765" s="1" t="n">
        <v>9767040</v>
      </c>
      <c r="AI765" s="1" t="inlineStr">
        <is>
          <t>4901990000</t>
        </is>
      </c>
    </row>
    <row r="766" customFormat="1" s="1">
      <c r="C766" s="1" t="inlineStr">
        <is>
          <t xml:space="preserve">9859750             </t>
        </is>
      </c>
      <c r="D766" s="1" t="inlineStr">
        <is>
          <t>Мировой бестселлер</t>
        </is>
      </c>
      <c r="E766" s="1" t="inlineStr">
        <is>
          <t>Hi-Fi. Хорнби Н</t>
        </is>
      </c>
      <c r="F766" s="13" t="inlineStr">
        <is>
          <t>См.обл.</t>
        </is>
      </c>
      <c r="G766" s="1" t="inlineStr">
        <is>
          <t>Хорнби Н</t>
        </is>
      </c>
      <c r="H766" s="1" t="inlineStr">
        <is>
          <t>60х90/16</t>
        </is>
      </c>
      <c r="I766" s="1" t="n">
        <v>288</v>
      </c>
      <c r="J766" s="1" t="inlineStr">
        <is>
          <t>РИПОЛ Классик</t>
        </is>
      </c>
      <c r="M766" s="1" t="inlineStr">
        <is>
          <t>2021</t>
        </is>
      </c>
      <c r="N766" s="1" t="inlineStr">
        <is>
          <t>О</t>
        </is>
      </c>
      <c r="O766" s="9" t="n">
        <v>12</v>
      </c>
      <c r="P766" s="1">
        <f>ROUNDUP(930*(1-$F$3),2)</f>
        <v/>
      </c>
      <c r="Q766" s="1" t="inlineStr">
        <is>
          <t> </t>
        </is>
      </c>
      <c r="R766" s="1" t="inlineStr">
        <is>
          <t>978-5-386-14526-2</t>
        </is>
      </c>
      <c r="S766" s="1" t="inlineStr">
        <is>
          <t>9785386145262</t>
        </is>
      </c>
      <c r="T766" s="9" t="n">
        <v>10</v>
      </c>
      <c r="U766" s="1">
        <f>ROUNDUP(845.45*(1-$F$3),2)</f>
        <v/>
      </c>
      <c r="V766" s="1" t="n">
        <v>299</v>
      </c>
      <c r="Y766" s="1" t="inlineStr">
        <is>
          <t>Hi-Fi</t>
        </is>
      </c>
      <c r="Z766" s="1" t="inlineStr">
        <is>
          <t>16+</t>
        </is>
      </c>
      <c r="AA766" s="12" t="n">
        <v>44518</v>
      </c>
      <c r="AB766" s="1" t="inlineStr">
        <is>
          <t>Художественная литература</t>
        </is>
      </c>
      <c r="AC766" s="1" t="inlineStr">
        <is>
          <t>Зарубежная литература</t>
        </is>
      </c>
      <c r="AD766" s="1" t="inlineStr">
        <is>
          <t>Европейская литература</t>
        </is>
      </c>
      <c r="AE766" s="1" t="inlineStr">
        <is>
          <t>офсетная</t>
        </is>
      </c>
      <c r="AG766" s="1" t="n">
        <v>9859750</v>
      </c>
      <c r="AI766" s="1" t="inlineStr">
        <is>
          <t>4901990000</t>
        </is>
      </c>
    </row>
    <row r="767" customFormat="1" s="1">
      <c r="C767" s="1" t="inlineStr">
        <is>
          <t xml:space="preserve">10702370            </t>
        </is>
      </c>
      <c r="D767" s="1" t="inlineStr">
        <is>
          <t>Мировой бестселлер</t>
        </is>
      </c>
      <c r="E767" s="1" t="inlineStr">
        <is>
          <t>Абрек. Повесть о настоящем волке. Умаров Д.В.</t>
        </is>
      </c>
      <c r="F767" s="13" t="inlineStr">
        <is>
          <t>См.обл.</t>
        </is>
      </c>
      <c r="G767" s="1" t="inlineStr">
        <is>
          <t>Умаров Д.В.</t>
        </is>
      </c>
      <c r="H767" s="1" t="inlineStr">
        <is>
          <t>70х90/16</t>
        </is>
      </c>
      <c r="I767" s="1" t="n">
        <v>352</v>
      </c>
      <c r="J767" s="1" t="inlineStr">
        <is>
          <t>РИПОЛ Классик</t>
        </is>
      </c>
      <c r="M767" s="1" t="inlineStr">
        <is>
          <t>2023</t>
        </is>
      </c>
      <c r="N767" s="1" t="inlineStr">
        <is>
          <t>П</t>
        </is>
      </c>
      <c r="O767" s="9" t="n">
        <v>5</v>
      </c>
      <c r="P767" s="1">
        <f>ROUNDUP(3230*(1-$F$3),2)</f>
        <v/>
      </c>
      <c r="Q767" s="1" t="inlineStr">
        <is>
          <t> </t>
        </is>
      </c>
      <c r="R767" s="1" t="inlineStr">
        <is>
          <t>978-5-386-14881-2</t>
        </is>
      </c>
      <c r="S767" s="1" t="inlineStr">
        <is>
          <t>9785386148812</t>
        </is>
      </c>
      <c r="T767" s="9" t="n">
        <v>10</v>
      </c>
      <c r="U767" s="1">
        <f>ROUNDUP(2936.36*(1-$F$3),2)</f>
        <v/>
      </c>
      <c r="V767" s="1" t="n">
        <v>772</v>
      </c>
      <c r="Y767" s="1" t="inlineStr">
        <is>
          <t>Абрек. Повесть о настоящем волке</t>
        </is>
      </c>
      <c r="Z767" s="1" t="inlineStr">
        <is>
          <t>16+</t>
        </is>
      </c>
      <c r="AA767" s="12" t="n">
        <v>44905</v>
      </c>
      <c r="AB767" s="1" t="inlineStr">
        <is>
          <t>Художественная литература</t>
        </is>
      </c>
      <c r="AC767" s="1" t="inlineStr">
        <is>
          <t>Русская литература</t>
        </is>
      </c>
      <c r="AD767" s="1" t="inlineStr">
        <is>
          <t>Современная литература</t>
        </is>
      </c>
      <c r="AE767" s="1" t="inlineStr">
        <is>
          <t>офсетная</t>
        </is>
      </c>
      <c r="AG767" s="1" t="n">
        <v>10702370</v>
      </c>
      <c r="AI767" s="1" t="inlineStr">
        <is>
          <t>4901990000</t>
        </is>
      </c>
      <c r="AJ767" s="1" t="inlineStr">
        <is>
          <t>Зпв</t>
        </is>
      </c>
    </row>
    <row r="768" customFormat="1" s="1">
      <c r="C768" s="1" t="inlineStr">
        <is>
          <t xml:space="preserve">10739840            </t>
        </is>
      </c>
      <c r="D768" s="1" t="inlineStr">
        <is>
          <t>Мировой бестселлер</t>
        </is>
      </c>
      <c r="E768" s="1" t="inlineStr">
        <is>
          <t>Барбизон. В отеле только девушки. Брен П.</t>
        </is>
      </c>
      <c r="F768" s="13" t="inlineStr">
        <is>
          <t>См.обл.</t>
        </is>
      </c>
      <c r="G768" s="1" t="inlineStr">
        <is>
          <t>Брен П.</t>
        </is>
      </c>
      <c r="H768" s="1" t="inlineStr">
        <is>
          <t>60х90/16</t>
        </is>
      </c>
      <c r="I768" s="1" t="n">
        <v>384</v>
      </c>
      <c r="J768" s="1" t="inlineStr">
        <is>
          <t>РИПОЛ Классик</t>
        </is>
      </c>
      <c r="M768" s="1" t="inlineStr">
        <is>
          <t>2023</t>
        </is>
      </c>
      <c r="N768" s="1" t="inlineStr">
        <is>
          <t>П</t>
        </is>
      </c>
      <c r="O768" s="9" t="n">
        <v>10</v>
      </c>
      <c r="P768" s="1">
        <f>ROUNDUP(1340*(1-$F$3),2)</f>
        <v/>
      </c>
      <c r="Q768" s="1" t="inlineStr">
        <is>
          <t> </t>
        </is>
      </c>
      <c r="R768" s="1" t="inlineStr">
        <is>
          <t>978-5-386-14741-9</t>
        </is>
      </c>
      <c r="S768" s="1" t="inlineStr">
        <is>
          <t>9785386147419</t>
        </is>
      </c>
      <c r="T768" s="9" t="n">
        <v>10</v>
      </c>
      <c r="U768" s="1">
        <f>ROUNDUP(1218.18*(1-$F$3),2)</f>
        <v/>
      </c>
      <c r="V768" s="1" t="n">
        <v>532</v>
      </c>
      <c r="Y768" s="1" t="inlineStr">
        <is>
          <t>Барбизон. В отеле только девушки</t>
        </is>
      </c>
      <c r="Z768" s="1" t="inlineStr">
        <is>
          <t>16+</t>
        </is>
      </c>
      <c r="AA768" s="12" t="n">
        <v>44936</v>
      </c>
      <c r="AB768" s="1" t="inlineStr">
        <is>
          <t>Художественно-документальная проза</t>
        </is>
      </c>
      <c r="AC768" s="1" t="inlineStr">
        <is>
          <t>Публицистика</t>
        </is>
      </c>
      <c r="AD768" s="1" t="inlineStr">
        <is>
          <t>Художественная публицистика. Хроники событий</t>
        </is>
      </c>
      <c r="AE768" s="1" t="inlineStr">
        <is>
          <t>офсетная</t>
        </is>
      </c>
      <c r="AG768" s="1" t="n">
        <v>10739840</v>
      </c>
      <c r="AI768" s="1" t="inlineStr">
        <is>
          <t>4901990000</t>
        </is>
      </c>
      <c r="AJ768" s="1" t="inlineStr">
        <is>
          <t>Зпв</t>
        </is>
      </c>
    </row>
    <row r="769" customFormat="1" s="1">
      <c r="C769" s="1" t="inlineStr">
        <is>
          <t xml:space="preserve">9636200             </t>
        </is>
      </c>
      <c r="D769" s="1" t="inlineStr">
        <is>
          <t>Мировой бестселлер</t>
        </is>
      </c>
      <c r="E769" s="1" t="inlineStr">
        <is>
          <t>Боги нефрита и тени. Морено-Гарсиа С.</t>
        </is>
      </c>
      <c r="F769" s="13" t="inlineStr">
        <is>
          <t>См.обл.</t>
        </is>
      </c>
      <c r="G769" s="1" t="inlineStr">
        <is>
          <t>Морено-Гарсиа С.</t>
        </is>
      </c>
      <c r="H769" s="1" t="inlineStr">
        <is>
          <t>60х90/16</t>
        </is>
      </c>
      <c r="I769" s="1" t="n">
        <v>336</v>
      </c>
      <c r="J769" s="1" t="inlineStr">
        <is>
          <t>РИПОЛ Классик</t>
        </is>
      </c>
      <c r="M769" s="1" t="inlineStr">
        <is>
          <t>2021</t>
        </is>
      </c>
      <c r="N769" s="1" t="inlineStr">
        <is>
          <t>П</t>
        </is>
      </c>
      <c r="O769" s="9" t="n">
        <v>10</v>
      </c>
      <c r="P769" s="1">
        <f>ROUNDUP(1070*(1-$F$3),2)</f>
        <v/>
      </c>
      <c r="Q769" s="1" t="inlineStr">
        <is>
          <t> </t>
        </is>
      </c>
      <c r="R769" s="1" t="inlineStr">
        <is>
          <t>978-5-386-13981-0</t>
        </is>
      </c>
      <c r="S769" s="1" t="inlineStr">
        <is>
          <t>9785386139810</t>
        </is>
      </c>
      <c r="T769" s="9" t="n">
        <v>10</v>
      </c>
      <c r="U769" s="1">
        <f>ROUNDUP(972.73*(1-$F$3),2)</f>
        <v/>
      </c>
      <c r="V769" s="1" t="n">
        <v>432</v>
      </c>
      <c r="Y769" s="1" t="inlineStr">
        <is>
          <t>Боги нефрита и тени</t>
        </is>
      </c>
      <c r="Z769" s="1" t="inlineStr">
        <is>
          <t>16+</t>
        </is>
      </c>
      <c r="AA769" s="12" t="n">
        <v>44270</v>
      </c>
      <c r="AB769" s="1" t="inlineStr">
        <is>
          <t>Художественная литература</t>
        </is>
      </c>
      <c r="AC769" s="1" t="inlineStr">
        <is>
          <t>Фантастика. Мистика. Ужасы</t>
        </is>
      </c>
      <c r="AD769" s="1" t="inlineStr">
        <is>
          <t>Мистика. Ужасы</t>
        </is>
      </c>
      <c r="AE769" s="1" t="inlineStr">
        <is>
          <t>офсетная</t>
        </is>
      </c>
      <c r="AG769" s="1" t="n">
        <v>9636200</v>
      </c>
      <c r="AI769" s="1" t="inlineStr">
        <is>
          <t>4901990000</t>
        </is>
      </c>
    </row>
    <row r="770" customFormat="1" s="1">
      <c r="C770" s="1" t="inlineStr">
        <is>
          <t xml:space="preserve">10746610            </t>
        </is>
      </c>
      <c r="D770" s="1" t="inlineStr">
        <is>
          <t>Мировой бестселлер</t>
        </is>
      </c>
      <c r="E770" s="1" t="inlineStr">
        <is>
          <t>Бронепароходы. Иванов А.В.</t>
        </is>
      </c>
      <c r="F770" s="13" t="inlineStr">
        <is>
          <t>См.обл.</t>
        </is>
      </c>
      <c r="G770" s="1" t="inlineStr">
        <is>
          <t>Иванов А.В.</t>
        </is>
      </c>
      <c r="H770" s="1" t="inlineStr">
        <is>
          <t>70х90/16</t>
        </is>
      </c>
      <c r="I770" s="1" t="n">
        <v>688</v>
      </c>
      <c r="J770" s="1" t="inlineStr">
        <is>
          <t>РИПОЛ Классик</t>
        </is>
      </c>
      <c r="M770" s="1" t="inlineStr">
        <is>
          <t>2023</t>
        </is>
      </c>
      <c r="N770" s="1" t="inlineStr">
        <is>
          <t>П</t>
        </is>
      </c>
      <c r="O770" s="9" t="n">
        <v>4</v>
      </c>
      <c r="P770" s="1">
        <f>ROUNDUP(1910*(1-$F$3),2)</f>
        <v/>
      </c>
      <c r="Q770" s="1" t="inlineStr">
        <is>
          <t> </t>
        </is>
      </c>
      <c r="R770" s="1" t="inlineStr">
        <is>
          <t>978-5-386-14942-0</t>
        </is>
      </c>
      <c r="S770" s="1" t="inlineStr">
        <is>
          <t>9785386149420</t>
        </is>
      </c>
      <c r="T770" s="9" t="n">
        <v>22</v>
      </c>
      <c r="U770" s="1">
        <f>ROUNDUP(1565.57*(1-$F$3),2)</f>
        <v/>
      </c>
      <c r="V770" s="1" t="n">
        <v>925</v>
      </c>
      <c r="Y770" s="1" t="inlineStr">
        <is>
          <t>Бронепароходы</t>
        </is>
      </c>
      <c r="Z770" s="1" t="inlineStr">
        <is>
          <t>18+</t>
        </is>
      </c>
      <c r="AA770" s="12" t="n">
        <v>44905</v>
      </c>
      <c r="AB770" s="1" t="inlineStr">
        <is>
          <t>Художественная литература</t>
        </is>
      </c>
      <c r="AC770" s="1" t="inlineStr">
        <is>
          <t>Историческая проза</t>
        </is>
      </c>
      <c r="AD770" s="1" t="inlineStr">
        <is>
          <t>Русская историческая проза</t>
        </is>
      </c>
      <c r="AE770" s="1" t="inlineStr">
        <is>
          <t>офсетная</t>
        </is>
      </c>
      <c r="AG770" s="1" t="n">
        <v>10746610</v>
      </c>
      <c r="AI770" s="1" t="inlineStr">
        <is>
          <t>4901990000</t>
        </is>
      </c>
      <c r="AJ770" s="1" t="inlineStr">
        <is>
          <t>Зпв</t>
        </is>
      </c>
    </row>
    <row r="771" customFormat="1" s="1">
      <c r="C771" s="1" t="inlineStr">
        <is>
          <t xml:space="preserve">10292550            </t>
        </is>
      </c>
      <c r="D771" s="1" t="inlineStr">
        <is>
          <t>Мировой бестселлер</t>
        </is>
      </c>
      <c r="E771" s="1" t="inlineStr">
        <is>
          <t>В Линкольнвуде гаснет свет. Родки Д.</t>
        </is>
      </c>
      <c r="F771" s="13" t="inlineStr">
        <is>
          <t>См.обл.</t>
        </is>
      </c>
      <c r="G771" s="1" t="inlineStr">
        <is>
          <t>Родки Д.</t>
        </is>
      </c>
      <c r="H771" s="1" t="inlineStr">
        <is>
          <t>60х90/16</t>
        </is>
      </c>
      <c r="I771" s="1" t="n">
        <v>480</v>
      </c>
      <c r="J771" s="1" t="inlineStr">
        <is>
          <t>РИПОЛ Классик</t>
        </is>
      </c>
      <c r="M771" s="1" t="inlineStr">
        <is>
          <t>2022</t>
        </is>
      </c>
      <c r="N771" s="1" t="inlineStr">
        <is>
          <t>П</t>
        </is>
      </c>
      <c r="O771" s="9" t="n">
        <v>8</v>
      </c>
      <c r="P771" s="1">
        <f>ROUNDUP(1450*(1-$F$3),2)</f>
        <v/>
      </c>
      <c r="Q771" s="1" t="inlineStr">
        <is>
          <t> </t>
        </is>
      </c>
      <c r="R771" s="1" t="inlineStr">
        <is>
          <t>978-5-386-14675-7</t>
        </is>
      </c>
      <c r="S771" s="1" t="inlineStr">
        <is>
          <t>9785386146757</t>
        </is>
      </c>
      <c r="T771" s="9" t="n">
        <v>10</v>
      </c>
      <c r="U771" s="1">
        <f>ROUNDUP(1318.18*(1-$F$3),2)</f>
        <v/>
      </c>
      <c r="V771" s="1" t="n">
        <v>679</v>
      </c>
      <c r="Y771" s="1" t="inlineStr">
        <is>
          <t>В Линкольнвуде гаснет свет</t>
        </is>
      </c>
      <c r="Z771" s="1" t="inlineStr">
        <is>
          <t>16+</t>
        </is>
      </c>
      <c r="AA771" s="12" t="n">
        <v>44666</v>
      </c>
      <c r="AB771" s="1" t="inlineStr">
        <is>
          <t>Художественная литература</t>
        </is>
      </c>
      <c r="AC771" s="1" t="inlineStr">
        <is>
          <t>Зарубежная литература</t>
        </is>
      </c>
      <c r="AD771" s="1" t="inlineStr">
        <is>
          <t>Литература Америки и Австралии</t>
        </is>
      </c>
      <c r="AE771" s="1" t="inlineStr">
        <is>
          <t>офсетная</t>
        </is>
      </c>
      <c r="AG771" s="1" t="n">
        <v>10292550</v>
      </c>
      <c r="AI771" s="1" t="inlineStr">
        <is>
          <t>4901990000</t>
        </is>
      </c>
      <c r="AJ771" s="1" t="inlineStr">
        <is>
          <t>Зпв</t>
        </is>
      </c>
    </row>
    <row r="772" customFormat="1" s="1">
      <c r="C772" s="1" t="inlineStr">
        <is>
          <t xml:space="preserve">9447370             </t>
        </is>
      </c>
      <c r="D772" s="1" t="inlineStr">
        <is>
          <t>Мировой бестселлер</t>
        </is>
      </c>
      <c r="E772" s="1" t="inlineStr">
        <is>
          <t>Вкус шалфея: роман. Сантос Й.С.</t>
        </is>
      </c>
      <c r="F772" s="13" t="inlineStr">
        <is>
          <t>См.обл.</t>
        </is>
      </c>
      <c r="G772" s="1" t="inlineStr">
        <is>
          <t>Сантос Й.С.</t>
        </is>
      </c>
      <c r="H772" s="1" t="inlineStr">
        <is>
          <t>84х108/32</t>
        </is>
      </c>
      <c r="I772" s="1" t="n">
        <v>320</v>
      </c>
      <c r="J772" s="1" t="inlineStr">
        <is>
          <t>РИПОЛ Классик</t>
        </is>
      </c>
      <c r="M772" s="1" t="inlineStr">
        <is>
          <t>2020</t>
        </is>
      </c>
      <c r="N772" s="1" t="inlineStr">
        <is>
          <t>П</t>
        </is>
      </c>
      <c r="O772" s="9" t="n">
        <v>10</v>
      </c>
      <c r="P772" s="1">
        <f>ROUNDUP(1000*(1-$F$3),2)</f>
        <v/>
      </c>
      <c r="Q772" s="1" t="inlineStr">
        <is>
          <t> </t>
        </is>
      </c>
      <c r="R772" s="1" t="inlineStr">
        <is>
          <t>978-5-386-13739-7</t>
        </is>
      </c>
      <c r="S772" s="1" t="inlineStr">
        <is>
          <t>9785386137397</t>
        </is>
      </c>
      <c r="T772" s="9" t="n">
        <v>10</v>
      </c>
      <c r="U772" s="1">
        <f>ROUNDUP(909.09*(1-$F$3),2)</f>
        <v/>
      </c>
      <c r="V772" s="1" t="n">
        <v>429</v>
      </c>
      <c r="Y772" s="1" t="inlineStr">
        <is>
          <t>Вкус шалфея: роман</t>
        </is>
      </c>
      <c r="Z772" s="1" t="inlineStr">
        <is>
          <t>16+</t>
        </is>
      </c>
      <c r="AA772" s="12" t="n">
        <v>44025</v>
      </c>
      <c r="AB772" s="1" t="inlineStr">
        <is>
          <t>Художественная литература</t>
        </is>
      </c>
      <c r="AC772" s="1" t="inlineStr">
        <is>
          <t>Зарубежная литература</t>
        </is>
      </c>
      <c r="AD772" s="1" t="inlineStr">
        <is>
          <t>Литература Америки и Австралии</t>
        </is>
      </c>
      <c r="AE772" s="1" t="inlineStr">
        <is>
          <t>офсетная</t>
        </is>
      </c>
      <c r="AG772" s="1" t="n">
        <v>9447370</v>
      </c>
      <c r="AI772" s="1" t="inlineStr">
        <is>
          <t>4901990000</t>
        </is>
      </c>
    </row>
    <row r="773" customFormat="1" s="1">
      <c r="C773" s="1" t="inlineStr">
        <is>
          <t xml:space="preserve">9801170             </t>
        </is>
      </c>
      <c r="D773" s="1" t="inlineStr">
        <is>
          <t>Мировой бестселлер</t>
        </is>
      </c>
      <c r="E773" s="1" t="inlineStr">
        <is>
          <t>Вся твоя ложь. Тайс Г.</t>
        </is>
      </c>
      <c r="F773" s="13" t="inlineStr">
        <is>
          <t>См.обл.</t>
        </is>
      </c>
      <c r="G773" s="1" t="inlineStr">
        <is>
          <t>Тайс Г.</t>
        </is>
      </c>
      <c r="H773" s="1" t="inlineStr">
        <is>
          <t>60х90/16</t>
        </is>
      </c>
      <c r="I773" s="1" t="n">
        <v>432</v>
      </c>
      <c r="J773" s="1" t="inlineStr">
        <is>
          <t>РИПОЛ Классик</t>
        </is>
      </c>
      <c r="M773" s="1" t="inlineStr">
        <is>
          <t>2021</t>
        </is>
      </c>
      <c r="N773" s="1" t="inlineStr">
        <is>
          <t>П</t>
        </is>
      </c>
      <c r="O773" s="9" t="n">
        <v>6</v>
      </c>
      <c r="P773" s="1">
        <f>ROUNDUP(1074.7*(1-$F$3),2)</f>
        <v/>
      </c>
      <c r="Q773" s="1" t="inlineStr">
        <is>
          <t> </t>
        </is>
      </c>
      <c r="R773" s="1" t="inlineStr">
        <is>
          <t>978-5-386-14467-8</t>
        </is>
      </c>
      <c r="S773" s="1" t="inlineStr">
        <is>
          <t>9785386144678</t>
        </is>
      </c>
      <c r="T773" s="9" t="n">
        <v>10</v>
      </c>
      <c r="U773" s="1">
        <f>ROUNDUP(977*(1-$F$3),2)</f>
        <v/>
      </c>
      <c r="V773" s="1" t="n">
        <v>522</v>
      </c>
      <c r="Y773" s="1" t="inlineStr">
        <is>
          <t>Вся твоя ложь</t>
        </is>
      </c>
      <c r="Z773" s="1" t="inlineStr">
        <is>
          <t>16+</t>
        </is>
      </c>
      <c r="AA773" s="12" t="n">
        <v>44460</v>
      </c>
      <c r="AB773" s="1" t="inlineStr">
        <is>
          <t>Художественная литература</t>
        </is>
      </c>
      <c r="AC773" s="1" t="inlineStr">
        <is>
          <t>Детективы. Боевики. Триллеры</t>
        </is>
      </c>
      <c r="AD773" s="1" t="inlineStr">
        <is>
          <t>Зарубежный детектив</t>
        </is>
      </c>
      <c r="AE773" s="1" t="inlineStr">
        <is>
          <t>офсетная</t>
        </is>
      </c>
      <c r="AG773" s="1" t="n">
        <v>9801170</v>
      </c>
      <c r="AI773" s="1" t="inlineStr">
        <is>
          <t>4901990000</t>
        </is>
      </c>
      <c r="AJ773" s="1" t="inlineStr">
        <is>
          <t>Зпв</t>
        </is>
      </c>
    </row>
    <row r="774" customFormat="1" s="1">
      <c r="C774" s="1" t="inlineStr">
        <is>
          <t xml:space="preserve">10748480            </t>
        </is>
      </c>
      <c r="D774" s="1" t="inlineStr">
        <is>
          <t>Мировой бестселлер</t>
        </is>
      </c>
      <c r="E774" s="1" t="inlineStr">
        <is>
          <t>Вторая жена. Мэй Л.</t>
        </is>
      </c>
      <c r="F774" s="13" t="inlineStr">
        <is>
          <t>См.обл.</t>
        </is>
      </c>
      <c r="G774" s="1" t="inlineStr">
        <is>
          <t>Мэй Л.</t>
        </is>
      </c>
      <c r="H774" s="1" t="inlineStr">
        <is>
          <t>84х108/32</t>
        </is>
      </c>
      <c r="I774" s="1" t="n">
        <v>352</v>
      </c>
      <c r="J774" s="1" t="inlineStr">
        <is>
          <t>РИПОЛ Классик</t>
        </is>
      </c>
      <c r="M774" s="1" t="inlineStr">
        <is>
          <t>2023</t>
        </is>
      </c>
      <c r="N774" s="1" t="inlineStr">
        <is>
          <t>П</t>
        </is>
      </c>
      <c r="O774" s="9" t="n">
        <v>10</v>
      </c>
      <c r="P774" s="1">
        <f>ROUNDUP(1200*(1-$F$3),2)</f>
        <v/>
      </c>
      <c r="Q774" s="1" t="inlineStr">
        <is>
          <t> </t>
        </is>
      </c>
      <c r="R774" s="1" t="inlineStr">
        <is>
          <t>978-5-386-14953-6</t>
        </is>
      </c>
      <c r="S774" s="1" t="inlineStr">
        <is>
          <t>9785386149536</t>
        </is>
      </c>
      <c r="T774" s="9" t="n">
        <v>22</v>
      </c>
      <c r="U774" s="1">
        <f>ROUNDUP(983.61*(1-$F$3),2)</f>
        <v/>
      </c>
      <c r="V774" s="1" t="n">
        <v>483</v>
      </c>
      <c r="Y774" s="1" t="inlineStr">
        <is>
          <t>Вторая жена</t>
        </is>
      </c>
      <c r="Z774" s="1" t="inlineStr">
        <is>
          <t>18+</t>
        </is>
      </c>
      <c r="AA774" s="12" t="n">
        <v>44955</v>
      </c>
      <c r="AB774" s="1" t="inlineStr">
        <is>
          <t>Художественная литература</t>
        </is>
      </c>
      <c r="AC774" s="1" t="inlineStr">
        <is>
          <t>Зарубежная литература</t>
        </is>
      </c>
      <c r="AD774" s="1" t="inlineStr">
        <is>
          <t>Европейская литература</t>
        </is>
      </c>
      <c r="AE774" s="1" t="inlineStr">
        <is>
          <t>офсетная</t>
        </is>
      </c>
      <c r="AG774" s="1" t="n">
        <v>10748480</v>
      </c>
      <c r="AI774" s="1" t="inlineStr">
        <is>
          <t>4901990000</t>
        </is>
      </c>
    </row>
    <row r="775" customFormat="1" s="1">
      <c r="C775" s="1" t="inlineStr">
        <is>
          <t xml:space="preserve">9968560             </t>
        </is>
      </c>
      <c r="D775" s="1" t="inlineStr">
        <is>
          <t>Мировой бестселлер</t>
        </is>
      </c>
      <c r="E775" s="1" t="inlineStr">
        <is>
          <t>Вторая сестра. Чан Хо-Кей</t>
        </is>
      </c>
      <c r="F775" s="13" t="inlineStr">
        <is>
          <t>См.обл.</t>
        </is>
      </c>
      <c r="G775" s="1" t="inlineStr">
        <is>
          <t>Чан Хо-Кей</t>
        </is>
      </c>
      <c r="H775" s="1" t="inlineStr">
        <is>
          <t>84х108/32</t>
        </is>
      </c>
      <c r="I775" s="1" t="n">
        <v>512</v>
      </c>
      <c r="J775" s="1" t="inlineStr">
        <is>
          <t>РИПОЛ Классик</t>
        </is>
      </c>
      <c r="M775" s="1" t="inlineStr">
        <is>
          <t>2021</t>
        </is>
      </c>
      <c r="N775" s="1" t="inlineStr">
        <is>
          <t>П</t>
        </is>
      </c>
      <c r="O775" s="9" t="n">
        <v>6</v>
      </c>
      <c r="P775" s="1">
        <f>ROUNDUP(1340*(1-$F$3),2)</f>
        <v/>
      </c>
      <c r="Q775" s="1" t="inlineStr">
        <is>
          <t> </t>
        </is>
      </c>
      <c r="R775" s="1" t="inlineStr">
        <is>
          <t>978-5-386-14540-8</t>
        </is>
      </c>
      <c r="S775" s="1" t="inlineStr">
        <is>
          <t>9785386145408</t>
        </is>
      </c>
      <c r="T775" s="9" t="n">
        <v>10</v>
      </c>
      <c r="U775" s="1">
        <f>ROUNDUP(1218.18*(1-$F$3),2)</f>
        <v/>
      </c>
      <c r="V775" s="1" t="n">
        <v>617</v>
      </c>
      <c r="Y775" s="1" t="inlineStr">
        <is>
          <t>Вторая сестра</t>
        </is>
      </c>
      <c r="Z775" s="1" t="inlineStr">
        <is>
          <t>18+</t>
        </is>
      </c>
      <c r="AA775" s="12" t="n">
        <v>44538</v>
      </c>
      <c r="AB775" s="1" t="inlineStr">
        <is>
          <t>Художественная литература</t>
        </is>
      </c>
      <c r="AC775" s="1" t="inlineStr">
        <is>
          <t>Детективы. Боевики. Триллеры</t>
        </is>
      </c>
      <c r="AD775" s="1" t="inlineStr">
        <is>
          <t>Зарубежный детектив</t>
        </is>
      </c>
      <c r="AE775" s="1" t="inlineStr">
        <is>
          <t>офсетная</t>
        </is>
      </c>
      <c r="AG775" s="1" t="n">
        <v>9968560</v>
      </c>
      <c r="AI775" s="1" t="inlineStr">
        <is>
          <t>4901990000</t>
        </is>
      </c>
    </row>
    <row r="776" customFormat="1" s="1">
      <c r="C776" s="1" t="inlineStr">
        <is>
          <t xml:space="preserve">10041640            </t>
        </is>
      </c>
      <c r="D776" s="1" t="inlineStr">
        <is>
          <t>Мировой бестселлер</t>
        </is>
      </c>
      <c r="E776" s="1" t="inlineStr">
        <is>
          <t>Гарпия. Хантер М.</t>
        </is>
      </c>
      <c r="F776" s="13" t="inlineStr">
        <is>
          <t>См.обл.</t>
        </is>
      </c>
      <c r="G776" s="1" t="inlineStr">
        <is>
          <t>Хантер М.</t>
        </is>
      </c>
      <c r="H776" s="1" t="inlineStr">
        <is>
          <t>84х108/32</t>
        </is>
      </c>
      <c r="I776" s="1" t="n">
        <v>304</v>
      </c>
      <c r="J776" s="1" t="inlineStr">
        <is>
          <t>РИПОЛ Классик</t>
        </is>
      </c>
      <c r="M776" s="1" t="inlineStr">
        <is>
          <t>2022</t>
        </is>
      </c>
      <c r="N776" s="1" t="inlineStr">
        <is>
          <t>П</t>
        </is>
      </c>
      <c r="O776" s="9" t="n">
        <v>10</v>
      </c>
      <c r="P776" s="1">
        <f>ROUNDUP(1020*(1-$F$3),2)</f>
        <v/>
      </c>
      <c r="Q776" s="1" t="inlineStr">
        <is>
          <t> </t>
        </is>
      </c>
      <c r="R776" s="1" t="inlineStr">
        <is>
          <t>978-5-386-14584-2</t>
        </is>
      </c>
      <c r="S776" s="1" t="inlineStr">
        <is>
          <t>9785386145842</t>
        </is>
      </c>
      <c r="T776" s="9" t="n">
        <v>22</v>
      </c>
      <c r="U776" s="1">
        <f>ROUNDUP(836.07*(1-$F$3),2)</f>
        <v/>
      </c>
      <c r="V776" s="1" t="n">
        <v>343</v>
      </c>
      <c r="Y776" s="1" t="inlineStr">
        <is>
          <t>Гарпия</t>
        </is>
      </c>
      <c r="Z776" s="1" t="inlineStr">
        <is>
          <t>18+</t>
        </is>
      </c>
      <c r="AA776" s="12" t="n">
        <v>44573</v>
      </c>
      <c r="AB776" s="1" t="inlineStr">
        <is>
          <t>Художественная литература</t>
        </is>
      </c>
      <c r="AC776" s="1" t="inlineStr">
        <is>
          <t>Зарубежная литература</t>
        </is>
      </c>
      <c r="AD776" s="1" t="inlineStr">
        <is>
          <t>Европейская литература</t>
        </is>
      </c>
      <c r="AE776" s="1" t="inlineStr">
        <is>
          <t>офсетная</t>
        </is>
      </c>
      <c r="AG776" s="1" t="n">
        <v>10041640</v>
      </c>
      <c r="AI776" s="1" t="inlineStr">
        <is>
          <t>4901990000</t>
        </is>
      </c>
    </row>
    <row r="777" customFormat="1" s="1">
      <c r="C777" s="1" t="inlineStr">
        <is>
          <t xml:space="preserve">9400490             </t>
        </is>
      </c>
      <c r="D777" s="1" t="inlineStr">
        <is>
          <t>Мировой бестселлер</t>
        </is>
      </c>
      <c r="E777" s="1" t="inlineStr">
        <is>
          <t>День дьявола. Херли Э.М</t>
        </is>
      </c>
      <c r="F777" s="13" t="inlineStr">
        <is>
          <t>См.обл.</t>
        </is>
      </c>
      <c r="G777" s="1" t="inlineStr">
        <is>
          <t>Херли Э.М</t>
        </is>
      </c>
      <c r="H777" s="1" t="inlineStr">
        <is>
          <t>84х108/32</t>
        </is>
      </c>
      <c r="I777" s="1" t="n">
        <v>352</v>
      </c>
      <c r="J777" s="1" t="inlineStr">
        <is>
          <t>РИПОЛ Классик</t>
        </is>
      </c>
      <c r="M777" s="1" t="inlineStr">
        <is>
          <t>2020</t>
        </is>
      </c>
      <c r="N777" s="1" t="inlineStr">
        <is>
          <t>П</t>
        </is>
      </c>
      <c r="O777" s="9" t="n">
        <v>10</v>
      </c>
      <c r="P777" s="1">
        <f>ROUNDUP(1100*(1-$F$3),2)</f>
        <v/>
      </c>
      <c r="Q777" s="1" t="inlineStr">
        <is>
          <t> </t>
        </is>
      </c>
      <c r="R777" s="1" t="inlineStr">
        <is>
          <t>978-5-386-13700-7</t>
        </is>
      </c>
      <c r="S777" s="1" t="inlineStr">
        <is>
          <t>9785386137007</t>
        </is>
      </c>
      <c r="T777" s="9" t="n">
        <v>10</v>
      </c>
      <c r="U777" s="1">
        <f>ROUNDUP(1000*(1-$F$3),2)</f>
        <v/>
      </c>
      <c r="V777" s="1" t="n">
        <v>386</v>
      </c>
      <c r="Y777" s="1" t="inlineStr">
        <is>
          <t>День дьявола</t>
        </is>
      </c>
      <c r="Z777" s="1" t="inlineStr">
        <is>
          <t>16+</t>
        </is>
      </c>
      <c r="AA777" s="12" t="n">
        <v>43990</v>
      </c>
      <c r="AB777" s="1" t="inlineStr">
        <is>
          <t>Художественная литература</t>
        </is>
      </c>
      <c r="AC777" s="1" t="inlineStr">
        <is>
          <t>Фантастика. Мистика. Ужасы</t>
        </is>
      </c>
      <c r="AD777" s="1" t="inlineStr">
        <is>
          <t>Мистика. Ужасы</t>
        </is>
      </c>
      <c r="AE777" s="1" t="inlineStr">
        <is>
          <t>офсетная</t>
        </is>
      </c>
      <c r="AG777" s="1" t="n">
        <v>9400490</v>
      </c>
      <c r="AI777" s="1" t="inlineStr">
        <is>
          <t>4901990000</t>
        </is>
      </c>
    </row>
    <row r="778" customFormat="1" s="1">
      <c r="C778" s="1" t="inlineStr">
        <is>
          <t xml:space="preserve">10809050            </t>
        </is>
      </c>
      <c r="D778" s="1" t="inlineStr">
        <is>
          <t>Мировой бестселлер</t>
        </is>
      </c>
      <c r="E778" s="1" t="inlineStr">
        <is>
          <t>Дочери мертвой империи. Тара О'Нил К.</t>
        </is>
      </c>
      <c r="F778" s="13" t="inlineStr">
        <is>
          <t>См.обл.</t>
        </is>
      </c>
      <c r="G778" s="1" t="inlineStr">
        <is>
          <t>Тара О'Нил К.</t>
        </is>
      </c>
      <c r="H778" s="1" t="inlineStr">
        <is>
          <t>60х90/16</t>
        </is>
      </c>
      <c r="I778" s="1" t="n">
        <v>304</v>
      </c>
      <c r="J778" s="1" t="inlineStr">
        <is>
          <t>РИПОЛ Классик</t>
        </is>
      </c>
      <c r="M778" s="1" t="inlineStr">
        <is>
          <t>2023</t>
        </is>
      </c>
      <c r="N778" s="1" t="inlineStr">
        <is>
          <t>П</t>
        </is>
      </c>
      <c r="O778" s="9" t="n">
        <v>12</v>
      </c>
      <c r="P778" s="1">
        <f>ROUNDUP(1300*(1-$F$3),2)</f>
        <v/>
      </c>
      <c r="Q778" s="1" t="inlineStr">
        <is>
          <t> </t>
        </is>
      </c>
      <c r="R778" s="1" t="inlineStr">
        <is>
          <t>978-5-386-14939-0</t>
        </is>
      </c>
      <c r="S778" s="1" t="inlineStr">
        <is>
          <t>9785386149390</t>
        </is>
      </c>
      <c r="T778" s="9" t="n">
        <v>10</v>
      </c>
      <c r="U778" s="1">
        <f>ROUNDUP(1181.82*(1-$F$3),2)</f>
        <v/>
      </c>
      <c r="V778" s="1" t="n">
        <v>459</v>
      </c>
      <c r="Y778" s="1" t="inlineStr">
        <is>
          <t>Дочери мертвой империи</t>
        </is>
      </c>
      <c r="Z778" s="1" t="inlineStr">
        <is>
          <t>16+</t>
        </is>
      </c>
      <c r="AA778" s="12" t="n">
        <v>44982</v>
      </c>
      <c r="AB778" s="1" t="inlineStr">
        <is>
          <t>Художественная литература</t>
        </is>
      </c>
      <c r="AC778" s="1" t="inlineStr">
        <is>
          <t>Историческая проза</t>
        </is>
      </c>
      <c r="AD778" s="1" t="inlineStr">
        <is>
          <t>Зарубежная историческая проза</t>
        </is>
      </c>
      <c r="AE778" s="1" t="inlineStr">
        <is>
          <t>офсетная</t>
        </is>
      </c>
      <c r="AG778" s="1" t="n">
        <v>10809050</v>
      </c>
      <c r="AI778" s="1" t="inlineStr">
        <is>
          <t>4901990000</t>
        </is>
      </c>
    </row>
    <row r="779" customFormat="1" s="1">
      <c r="C779" s="1" t="inlineStr">
        <is>
          <t xml:space="preserve">9531520             </t>
        </is>
      </c>
      <c r="D779" s="1" t="inlineStr">
        <is>
          <t>Мировой бестселлер</t>
        </is>
      </c>
      <c r="E779" s="1" t="inlineStr">
        <is>
          <t>Идеальная смерть Мияко Сумиды. Гоэнаван К.</t>
        </is>
      </c>
      <c r="F779" s="13" t="inlineStr">
        <is>
          <t>См.обл.</t>
        </is>
      </c>
      <c r="G779" s="1" t="inlineStr">
        <is>
          <t>Гоэнаван К.</t>
        </is>
      </c>
      <c r="H779" s="1" t="inlineStr">
        <is>
          <t>84х108/32</t>
        </is>
      </c>
      <c r="I779" s="1" t="n">
        <v>352</v>
      </c>
      <c r="J779" s="1" t="inlineStr">
        <is>
          <t>РИПОЛ Классик</t>
        </is>
      </c>
      <c r="M779" s="1" t="inlineStr">
        <is>
          <t>2020</t>
        </is>
      </c>
      <c r="N779" s="1" t="inlineStr">
        <is>
          <t>П</t>
        </is>
      </c>
      <c r="O779" s="9" t="n">
        <v>12</v>
      </c>
      <c r="P779" s="1">
        <f>ROUNDUP(1100*(1-$F$3),2)</f>
        <v/>
      </c>
      <c r="Q779" s="1" t="inlineStr">
        <is>
          <t> </t>
        </is>
      </c>
      <c r="R779" s="1" t="inlineStr">
        <is>
          <t>978-5-386-13774-8</t>
        </is>
      </c>
      <c r="S779" s="1" t="inlineStr">
        <is>
          <t>9785386137748</t>
        </is>
      </c>
      <c r="T779" s="9" t="n">
        <v>10</v>
      </c>
      <c r="U779" s="1">
        <f>ROUNDUP(1000*(1-$F$3),2)</f>
        <v/>
      </c>
      <c r="V779" s="1" t="n">
        <v>386</v>
      </c>
      <c r="Y779" s="1" t="inlineStr">
        <is>
          <t>Идеальная смерть Мияко Сумиды</t>
        </is>
      </c>
      <c r="Z779" s="1" t="inlineStr">
        <is>
          <t>18+</t>
        </is>
      </c>
      <c r="AA779" s="12" t="n">
        <v>44144</v>
      </c>
      <c r="AB779" s="1" t="inlineStr">
        <is>
          <t>Художественная литература</t>
        </is>
      </c>
      <c r="AC779" s="1" t="inlineStr">
        <is>
          <t>Зарубежная литература</t>
        </is>
      </c>
      <c r="AD779" s="1" t="inlineStr">
        <is>
          <t>Литература стран Азии и Африки</t>
        </is>
      </c>
      <c r="AE779" s="1" t="inlineStr">
        <is>
          <t>офсетная</t>
        </is>
      </c>
      <c r="AG779" s="1" t="n">
        <v>9531520</v>
      </c>
      <c r="AI779" s="1" t="inlineStr">
        <is>
          <t>4901990000</t>
        </is>
      </c>
      <c r="AJ779" s="1" t="inlineStr">
        <is>
          <t>Зпв</t>
        </is>
      </c>
    </row>
    <row r="780" customFormat="1" s="1">
      <c r="C780" s="1" t="inlineStr">
        <is>
          <t xml:space="preserve">10941500            </t>
        </is>
      </c>
      <c r="D780" s="1" t="inlineStr">
        <is>
          <t>Мировой бестселлер</t>
        </is>
      </c>
      <c r="E780" s="1" t="inlineStr">
        <is>
          <t>Икар из Пичугино тож. Хилимов Ю.В.</t>
        </is>
      </c>
      <c r="F780" s="13" t="inlineStr">
        <is>
          <t>См.обл.</t>
        </is>
      </c>
      <c r="G780" s="1" t="inlineStr">
        <is>
          <t>Хилимов Ю.В.</t>
        </is>
      </c>
      <c r="H780" s="1" t="inlineStr">
        <is>
          <t>60х90/16</t>
        </is>
      </c>
      <c r="I780" s="1" t="n">
        <v>432</v>
      </c>
      <c r="J780" s="1" t="inlineStr">
        <is>
          <t>РИПОЛ Классик</t>
        </is>
      </c>
      <c r="M780" s="1" t="inlineStr">
        <is>
          <t>2025</t>
        </is>
      </c>
      <c r="N780" s="1" t="inlineStr">
        <is>
          <t>П</t>
        </is>
      </c>
      <c r="O780" s="9" t="n">
        <v>5</v>
      </c>
      <c r="P780" s="1">
        <f>ROUNDUP(1670*(1-$F$3),2)</f>
        <v/>
      </c>
      <c r="Q780" s="1" t="inlineStr">
        <is>
          <t> </t>
        </is>
      </c>
      <c r="R780" s="1" t="inlineStr">
        <is>
          <t>978-5-386-15069-3</t>
        </is>
      </c>
      <c r="S780" s="1" t="inlineStr">
        <is>
          <t>9785386150693</t>
        </is>
      </c>
      <c r="T780" s="9" t="n">
        <v>10</v>
      </c>
      <c r="U780" s="1">
        <f>ROUNDUP(1518.18*(1-$F$3),2)</f>
        <v/>
      </c>
      <c r="V780" s="1" t="n">
        <v>547</v>
      </c>
      <c r="Y780" s="1" t="inlineStr">
        <is>
          <t>Икар из Пичугино тож</t>
        </is>
      </c>
      <c r="Z780" s="1" t="inlineStr">
        <is>
          <t>16+</t>
        </is>
      </c>
      <c r="AA780" s="12" t="n">
        <v>45079</v>
      </c>
      <c r="AB780" s="1" t="inlineStr">
        <is>
          <t>Художественная литература</t>
        </is>
      </c>
      <c r="AC780" s="1" t="inlineStr">
        <is>
          <t>Русская литература</t>
        </is>
      </c>
      <c r="AD780" s="1" t="inlineStr">
        <is>
          <t>Современная литература</t>
        </is>
      </c>
      <c r="AE780" s="1" t="inlineStr">
        <is>
          <t>офсетная</t>
        </is>
      </c>
      <c r="AG780" s="1" t="n">
        <v>10941500</v>
      </c>
      <c r="AI780" s="1" t="inlineStr">
        <is>
          <t>4901990000</t>
        </is>
      </c>
    </row>
    <row r="781" customFormat="1" s="1">
      <c r="C781" s="1" t="inlineStr">
        <is>
          <t xml:space="preserve">11374570            </t>
        </is>
      </c>
      <c r="D781" s="1" t="inlineStr">
        <is>
          <t>Мировой бестселлер</t>
        </is>
      </c>
      <c r="E781" s="1" t="inlineStr">
        <is>
          <t>Камбэк. Чу Л.</t>
        </is>
      </c>
      <c r="F781" s="13" t="inlineStr">
        <is>
          <t>См.обл.</t>
        </is>
      </c>
      <c r="G781" s="1" t="inlineStr">
        <is>
          <t>Чу Л.</t>
        </is>
      </c>
      <c r="H781" s="1" t="inlineStr">
        <is>
          <t>60х90/16</t>
        </is>
      </c>
      <c r="I781" s="1" t="n">
        <v>560</v>
      </c>
      <c r="J781" s="1" t="inlineStr">
        <is>
          <t>РИПОЛ Классик</t>
        </is>
      </c>
      <c r="M781" s="1" t="inlineStr">
        <is>
          <t>2025</t>
        </is>
      </c>
      <c r="N781" s="1" t="inlineStr">
        <is>
          <t>П</t>
        </is>
      </c>
      <c r="O781" s="9" t="n">
        <v>6</v>
      </c>
      <c r="P781" s="1">
        <f>ROUNDUP(1140*(1-$F$3),2)</f>
        <v/>
      </c>
      <c r="Q781" s="1" t="inlineStr">
        <is>
          <t> </t>
        </is>
      </c>
      <c r="R781" s="1" t="inlineStr">
        <is>
          <t>978-5-386-15153-9</t>
        </is>
      </c>
      <c r="S781" s="1" t="inlineStr">
        <is>
          <t>9785386151539</t>
        </is>
      </c>
      <c r="T781" s="9" t="n">
        <v>10</v>
      </c>
      <c r="U781" s="1">
        <f>ROUNDUP(1036.36*(1-$F$3),2)</f>
        <v/>
      </c>
      <c r="V781" s="1" t="n">
        <v>581</v>
      </c>
      <c r="Y781" s="1" t="inlineStr">
        <is>
          <t>Камбэк</t>
        </is>
      </c>
      <c r="Z781" s="1" t="inlineStr">
        <is>
          <t>16+</t>
        </is>
      </c>
      <c r="AA781" s="12" t="n">
        <v>45495</v>
      </c>
      <c r="AB781" s="1" t="inlineStr">
        <is>
          <t>Художественная литература</t>
        </is>
      </c>
      <c r="AC781" s="1" t="inlineStr">
        <is>
          <t>Зарубежная литература</t>
        </is>
      </c>
      <c r="AD781" s="1" t="inlineStr">
        <is>
          <t>Литература Америки и Австралии</t>
        </is>
      </c>
      <c r="AE781" s="1" t="inlineStr">
        <is>
          <t>офсетная</t>
        </is>
      </c>
      <c r="AG781" s="1" t="n">
        <v>11374570</v>
      </c>
      <c r="AI781" s="1" t="inlineStr">
        <is>
          <t>4901990000</t>
        </is>
      </c>
    </row>
    <row r="782" customFormat="1" s="1">
      <c r="C782" s="1" t="inlineStr">
        <is>
          <t xml:space="preserve">9078560             </t>
        </is>
      </c>
      <c r="D782" s="1" t="inlineStr">
        <is>
          <t>Мировой бестселлер</t>
        </is>
      </c>
      <c r="E782" s="1" t="inlineStr">
        <is>
          <t>Книга Дины 3. Наследство Карны: роман. Вассму Х.</t>
        </is>
      </c>
      <c r="F782" s="13" t="inlineStr">
        <is>
          <t>См.обл.</t>
        </is>
      </c>
      <c r="G782" s="1" t="inlineStr">
        <is>
          <t>Вассму Х.</t>
        </is>
      </c>
      <c r="H782" s="1" t="inlineStr">
        <is>
          <t>84х108/32</t>
        </is>
      </c>
      <c r="I782" s="1" t="n">
        <v>591</v>
      </c>
      <c r="J782" s="1" t="inlineStr">
        <is>
          <t>РИПОЛ Классик</t>
        </is>
      </c>
      <c r="K782" s="1" t="inlineStr">
        <is>
          <t>Пальмира</t>
        </is>
      </c>
      <c r="M782" s="1" t="inlineStr">
        <is>
          <t>2019</t>
        </is>
      </c>
      <c r="N782" s="1" t="inlineStr">
        <is>
          <t>П</t>
        </is>
      </c>
      <c r="O782" s="9" t="n">
        <v>6</v>
      </c>
      <c r="P782" s="1">
        <f>ROUNDUP(1222.1*(1-$F$3),2)</f>
        <v/>
      </c>
      <c r="Q782" s="1" t="inlineStr">
        <is>
          <t> </t>
        </is>
      </c>
      <c r="R782" s="1" t="inlineStr">
        <is>
          <t>978-5-386-12529-5</t>
        </is>
      </c>
      <c r="S782" s="1" t="inlineStr">
        <is>
          <t>9785386125295</t>
        </is>
      </c>
      <c r="T782" s="9" t="n">
        <v>10</v>
      </c>
      <c r="U782" s="1">
        <f>ROUNDUP(1111*(1-$F$3),2)</f>
        <v/>
      </c>
      <c r="V782" s="1" t="n">
        <v>603</v>
      </c>
      <c r="Y782" s="1" t="inlineStr">
        <is>
          <t>Книга Дины 3. Наследство Карны: роман</t>
        </is>
      </c>
      <c r="Z782" s="1" t="inlineStr">
        <is>
          <t>16+</t>
        </is>
      </c>
      <c r="AA782" s="12" t="n">
        <v>43635</v>
      </c>
      <c r="AB782" s="1" t="inlineStr">
        <is>
          <t>Художественная литература</t>
        </is>
      </c>
      <c r="AC782" s="1" t="inlineStr">
        <is>
          <t>Зарубежная литература</t>
        </is>
      </c>
      <c r="AD782" s="1" t="inlineStr">
        <is>
          <t>Европейская литература</t>
        </is>
      </c>
      <c r="AE782" s="1" t="inlineStr">
        <is>
          <t>офсетная</t>
        </is>
      </c>
      <c r="AG782" s="1" t="n">
        <v>9078560</v>
      </c>
      <c r="AI782" s="1" t="inlineStr">
        <is>
          <t>4901990000</t>
        </is>
      </c>
    </row>
    <row r="783" customFormat="1" s="1">
      <c r="C783" s="1" t="inlineStr">
        <is>
          <t xml:space="preserve">9667010             </t>
        </is>
      </c>
      <c r="D783" s="1" t="inlineStr">
        <is>
          <t>Мировой бестселлер</t>
        </is>
      </c>
      <c r="E783" s="1" t="inlineStr">
        <is>
          <t>Корпорация IMAGEN. Александер Дж.</t>
        </is>
      </c>
      <c r="F783" s="13" t="inlineStr">
        <is>
          <t>См.обл.</t>
        </is>
      </c>
      <c r="G783" s="1" t="inlineStr">
        <is>
          <t>Александер Дж.</t>
        </is>
      </c>
      <c r="H783" s="1" t="inlineStr">
        <is>
          <t>84х108/32</t>
        </is>
      </c>
      <c r="I783" s="1" t="n">
        <v>352</v>
      </c>
      <c r="J783" s="1" t="inlineStr">
        <is>
          <t>РИПОЛ Классик</t>
        </is>
      </c>
      <c r="M783" s="1" t="inlineStr">
        <is>
          <t>2021</t>
        </is>
      </c>
      <c r="N783" s="1" t="inlineStr">
        <is>
          <t>П</t>
        </is>
      </c>
      <c r="O783" s="9" t="n">
        <v>12</v>
      </c>
      <c r="P783" s="1">
        <f>ROUNDUP(1160*(1-$F$3),2)</f>
        <v/>
      </c>
      <c r="Q783" s="1" t="inlineStr">
        <is>
          <t> </t>
        </is>
      </c>
      <c r="R783" s="1" t="inlineStr">
        <is>
          <t>978-5-386-14133-2</t>
        </is>
      </c>
      <c r="S783" s="1" t="inlineStr">
        <is>
          <t>9785386141332</t>
        </is>
      </c>
      <c r="T783" s="9" t="n">
        <v>10</v>
      </c>
      <c r="U783" s="1">
        <f>ROUNDUP(1054.55*(1-$F$3),2)</f>
        <v/>
      </c>
      <c r="V783" s="1" t="n">
        <v>389</v>
      </c>
      <c r="Y783" s="1" t="inlineStr">
        <is>
          <t>Корпорация IMAGEN</t>
        </is>
      </c>
      <c r="Z783" s="1" t="inlineStr">
        <is>
          <t>16+</t>
        </is>
      </c>
      <c r="AA783" s="12" t="n">
        <v>44293</v>
      </c>
      <c r="AB783" s="1" t="inlineStr">
        <is>
          <t>Художественная литература</t>
        </is>
      </c>
      <c r="AC783" s="1" t="inlineStr">
        <is>
          <t>Зарубежная литература</t>
        </is>
      </c>
      <c r="AD783" s="1" t="inlineStr">
        <is>
          <t>Европейская литература</t>
        </is>
      </c>
      <c r="AE783" s="1" t="inlineStr">
        <is>
          <t>офсетная</t>
        </is>
      </c>
      <c r="AG783" s="1" t="n">
        <v>9667010</v>
      </c>
      <c r="AI783" s="1" t="inlineStr">
        <is>
          <t>4901990000</t>
        </is>
      </c>
      <c r="AJ783" s="1" t="inlineStr">
        <is>
          <t>Зпв</t>
        </is>
      </c>
    </row>
    <row r="784" customFormat="1" s="1">
      <c r="C784" s="1" t="inlineStr">
        <is>
          <t xml:space="preserve">9646120             </t>
        </is>
      </c>
      <c r="D784" s="1" t="inlineStr">
        <is>
          <t>Мировой бестселлер</t>
        </is>
      </c>
      <c r="E784" s="1" t="inlineStr">
        <is>
          <t>Красивые вещи. Браун Дж</t>
        </is>
      </c>
      <c r="F784" s="13" t="inlineStr">
        <is>
          <t>См.обл.</t>
        </is>
      </c>
      <c r="G784" s="1" t="inlineStr">
        <is>
          <t>Браун Дж.</t>
        </is>
      </c>
      <c r="H784" s="1" t="inlineStr">
        <is>
          <t>60х90/16</t>
        </is>
      </c>
      <c r="I784" s="1" t="n">
        <v>512</v>
      </c>
      <c r="J784" s="1" t="inlineStr">
        <is>
          <t>РИПОЛ Классик</t>
        </is>
      </c>
      <c r="M784" s="1" t="inlineStr">
        <is>
          <t>2022</t>
        </is>
      </c>
      <c r="N784" s="1" t="inlineStr">
        <is>
          <t>П</t>
        </is>
      </c>
      <c r="O784" s="9" t="n">
        <v>6</v>
      </c>
      <c r="P784" s="1">
        <f>ROUNDUP(1340*(1-$F$3),2)</f>
        <v/>
      </c>
      <c r="Q784" s="1" t="inlineStr">
        <is>
          <t> </t>
        </is>
      </c>
      <c r="R784" s="1" t="inlineStr">
        <is>
          <t>978-5-386-13998-8</t>
        </is>
      </c>
      <c r="S784" s="1" t="inlineStr">
        <is>
          <t>9785386139988</t>
        </is>
      </c>
      <c r="T784" s="9" t="n">
        <v>10</v>
      </c>
      <c r="U784" s="1">
        <f>ROUNDUP(1218.18*(1-$F$3),2)</f>
        <v/>
      </c>
      <c r="V784" s="1" t="n">
        <v>596</v>
      </c>
      <c r="Y784" s="1" t="inlineStr">
        <is>
          <t>Красивые вещи</t>
        </is>
      </c>
      <c r="Z784" s="1" t="inlineStr">
        <is>
          <t>18+</t>
        </is>
      </c>
      <c r="AA784" s="12" t="n">
        <v>44261</v>
      </c>
      <c r="AB784" s="1" t="inlineStr">
        <is>
          <t>Художественная литература</t>
        </is>
      </c>
      <c r="AC784" s="1" t="inlineStr">
        <is>
          <t>Зарубежная литература</t>
        </is>
      </c>
      <c r="AD784" s="1" t="inlineStr">
        <is>
          <t>Литература Америки и Австралии</t>
        </is>
      </c>
      <c r="AE784" s="1" t="inlineStr">
        <is>
          <t>офсетная</t>
        </is>
      </c>
      <c r="AG784" s="1" t="n">
        <v>9646120</v>
      </c>
      <c r="AI784" s="1" t="inlineStr">
        <is>
          <t>4901990000</t>
        </is>
      </c>
      <c r="AJ784" s="1" t="inlineStr">
        <is>
          <t>Зпв</t>
        </is>
      </c>
    </row>
    <row r="785" customFormat="1" s="1">
      <c r="C785" s="1" t="inlineStr">
        <is>
          <t xml:space="preserve">9670410             </t>
        </is>
      </c>
      <c r="D785" s="1" t="inlineStr">
        <is>
          <t>Мировой бестселлер</t>
        </is>
      </c>
      <c r="E785" s="1" t="inlineStr">
        <is>
          <t>Кровавый апельсин. Тайс Г.</t>
        </is>
      </c>
      <c r="F785" s="13" t="inlineStr">
        <is>
          <t>См.обл.</t>
        </is>
      </c>
      <c r="G785" s="1" t="inlineStr">
        <is>
          <t>Тайс Г.</t>
        </is>
      </c>
      <c r="H785" s="1" t="inlineStr">
        <is>
          <t>60х90/16</t>
        </is>
      </c>
      <c r="I785" s="1" t="n">
        <v>336</v>
      </c>
      <c r="J785" s="1" t="inlineStr">
        <is>
          <t>РИПОЛ Классик</t>
        </is>
      </c>
      <c r="M785" s="1" t="inlineStr">
        <is>
          <t>2021</t>
        </is>
      </c>
      <c r="N785" s="1" t="inlineStr">
        <is>
          <t>П</t>
        </is>
      </c>
      <c r="O785" s="9" t="n">
        <v>12</v>
      </c>
      <c r="P785" s="1">
        <f>ROUNDUP(1010*(1-$F$3),2)</f>
        <v/>
      </c>
      <c r="Q785" s="1" t="inlineStr">
        <is>
          <t> </t>
        </is>
      </c>
      <c r="R785" s="1" t="inlineStr">
        <is>
          <t>978-5-386-14175-2</t>
        </is>
      </c>
      <c r="S785" s="1" t="inlineStr">
        <is>
          <t>9785386141752</t>
        </is>
      </c>
      <c r="T785" s="9" t="n">
        <v>10</v>
      </c>
      <c r="U785" s="1">
        <f>ROUNDUP(918.18*(1-$F$3),2)</f>
        <v/>
      </c>
      <c r="V785" s="1" t="n">
        <v>471</v>
      </c>
      <c r="Y785" s="1" t="inlineStr">
        <is>
          <t>Кровавый апельсин</t>
        </is>
      </c>
      <c r="Z785" s="1" t="inlineStr">
        <is>
          <t>18+</t>
        </is>
      </c>
      <c r="AA785" s="12" t="n">
        <v>44364</v>
      </c>
      <c r="AB785" s="1" t="inlineStr">
        <is>
          <t>Художественная литература</t>
        </is>
      </c>
      <c r="AC785" s="1" t="inlineStr">
        <is>
          <t>Детективы. Боевики. Триллеры</t>
        </is>
      </c>
      <c r="AD785" s="1" t="inlineStr">
        <is>
          <t>Зарубежный детектив</t>
        </is>
      </c>
      <c r="AE785" s="1" t="inlineStr">
        <is>
          <t>офсетная</t>
        </is>
      </c>
      <c r="AG785" s="1" t="n">
        <v>9670410</v>
      </c>
      <c r="AI785" s="1" t="inlineStr">
        <is>
          <t>4901990000</t>
        </is>
      </c>
    </row>
    <row r="786" customFormat="1" s="1">
      <c r="C786" s="1" t="inlineStr">
        <is>
          <t xml:space="preserve">10371210            </t>
        </is>
      </c>
      <c r="D786" s="1" t="inlineStr">
        <is>
          <t>Мировой бестселлер</t>
        </is>
      </c>
      <c r="E786" s="1" t="inlineStr">
        <is>
          <t>Лисьи Броды: роман. Старобинец А.А.</t>
        </is>
      </c>
      <c r="F786" s="13" t="inlineStr">
        <is>
          <t>См.обл.</t>
        </is>
      </c>
      <c r="G786" s="1" t="inlineStr">
        <is>
          <t>Старобинец А.А.</t>
        </is>
      </c>
      <c r="H786" s="1" t="inlineStr">
        <is>
          <t>70х90/16</t>
        </is>
      </c>
      <c r="I786" s="1" t="n">
        <v>720</v>
      </c>
      <c r="J786" s="1" t="inlineStr">
        <is>
          <t>РИПОЛ Классик</t>
        </is>
      </c>
      <c r="M786" s="1" t="inlineStr">
        <is>
          <t>2026</t>
        </is>
      </c>
      <c r="N786" s="1" t="inlineStr">
        <is>
          <t>П</t>
        </is>
      </c>
      <c r="O786" s="9" t="n">
        <v>6</v>
      </c>
      <c r="P786" s="1">
        <f>ROUNDUP(1670*(1-$F$3),2)</f>
        <v/>
      </c>
      <c r="Q786" s="1" t="inlineStr">
        <is>
          <t> </t>
        </is>
      </c>
      <c r="R786" s="1" t="inlineStr">
        <is>
          <t>978-5-386-14700-6</t>
        </is>
      </c>
      <c r="S786" s="1" t="inlineStr">
        <is>
          <t>9785386147006</t>
        </is>
      </c>
      <c r="T786" s="9" t="n">
        <v>10</v>
      </c>
      <c r="U786" s="1">
        <f>ROUNDUP(1518.18*(1-$F$3),2)</f>
        <v/>
      </c>
      <c r="V786" s="1" t="n">
        <v>959</v>
      </c>
      <c r="Y786" s="1" t="inlineStr">
        <is>
          <t>Лисьи Броды: роман</t>
        </is>
      </c>
      <c r="Z786" s="1" t="inlineStr">
        <is>
          <t>18+</t>
        </is>
      </c>
      <c r="AA786" s="12" t="n">
        <v>44728</v>
      </c>
      <c r="AB786" s="1" t="inlineStr">
        <is>
          <t>Художественная литература</t>
        </is>
      </c>
      <c r="AC786" s="1" t="inlineStr">
        <is>
          <t>Фантастика. Мистика. Ужасы</t>
        </is>
      </c>
      <c r="AD786" s="1" t="inlineStr">
        <is>
          <t>Мистика. Ужасы</t>
        </is>
      </c>
      <c r="AE786" s="1" t="inlineStr">
        <is>
          <t>офсетная</t>
        </is>
      </c>
      <c r="AG786" s="1" t="n">
        <v>10371210</v>
      </c>
      <c r="AI786" s="1" t="inlineStr">
        <is>
          <t>4901990000</t>
        </is>
      </c>
      <c r="AJ786" s="1" t="inlineStr">
        <is>
          <t>Зпв</t>
        </is>
      </c>
    </row>
    <row r="787" customFormat="1" s="1">
      <c r="C787" s="1" t="inlineStr">
        <is>
          <t xml:space="preserve">9768950             </t>
        </is>
      </c>
      <c r="D787" s="1" t="inlineStr">
        <is>
          <t>Мировой бестселлер</t>
        </is>
      </c>
      <c r="E787" s="1" t="inlineStr">
        <is>
          <t>Любовница. Чайлдс Дж.</t>
        </is>
      </c>
      <c r="F787" s="13" t="inlineStr">
        <is>
          <t>См.обл.</t>
        </is>
      </c>
      <c r="G787" s="1" t="inlineStr">
        <is>
          <t>Чайлдс Дж.</t>
        </is>
      </c>
      <c r="H787" s="1" t="inlineStr">
        <is>
          <t>60х90/16</t>
        </is>
      </c>
      <c r="I787" s="1" t="n">
        <v>336</v>
      </c>
      <c r="J787" s="1" t="inlineStr">
        <is>
          <t>РИПОЛ Классик</t>
        </is>
      </c>
      <c r="M787" s="1" t="inlineStr">
        <is>
          <t>2021</t>
        </is>
      </c>
      <c r="N787" s="1" t="inlineStr">
        <is>
          <t>П</t>
        </is>
      </c>
      <c r="O787" s="9" t="n">
        <v>10</v>
      </c>
      <c r="P787" s="1">
        <f>ROUNDUP(1240*(1-$F$3),2)</f>
        <v/>
      </c>
      <c r="Q787" s="1" t="inlineStr">
        <is>
          <t> </t>
        </is>
      </c>
      <c r="R787" s="1" t="inlineStr">
        <is>
          <t>978-5-386-14425-8</t>
        </is>
      </c>
      <c r="S787" s="1" t="inlineStr">
        <is>
          <t>9785386144258</t>
        </is>
      </c>
      <c r="T787" s="9" t="n">
        <v>10</v>
      </c>
      <c r="U787" s="1">
        <f>ROUNDUP(1127.27*(1-$F$3),2)</f>
        <v/>
      </c>
      <c r="V787" s="1" t="n">
        <v>355</v>
      </c>
      <c r="Y787" s="1" t="inlineStr">
        <is>
          <t>Любовница</t>
        </is>
      </c>
      <c r="Z787" s="1" t="inlineStr">
        <is>
          <t>16+</t>
        </is>
      </c>
      <c r="AA787" s="12" t="n">
        <v>44444</v>
      </c>
      <c r="AB787" s="1" t="inlineStr">
        <is>
          <t>Художественная литература</t>
        </is>
      </c>
      <c r="AC787" s="1" t="inlineStr">
        <is>
          <t>Детективы. Боевики. Триллеры</t>
        </is>
      </c>
      <c r="AD787" s="1" t="inlineStr">
        <is>
          <t>Триллеры</t>
        </is>
      </c>
      <c r="AE787" s="1" t="inlineStr">
        <is>
          <t>офсетная</t>
        </is>
      </c>
      <c r="AG787" s="1" t="n">
        <v>9768950</v>
      </c>
      <c r="AI787" s="1" t="inlineStr">
        <is>
          <t>4901990000</t>
        </is>
      </c>
    </row>
    <row r="788" customFormat="1" s="1">
      <c r="C788" s="1" t="inlineStr">
        <is>
          <t xml:space="preserve">9378850             </t>
        </is>
      </c>
      <c r="D788" s="1" t="inlineStr">
        <is>
          <t>Мировой бестселлер</t>
        </is>
      </c>
      <c r="E788" s="1" t="inlineStr">
        <is>
          <t>Неаполь, любовь моя. Форджоне А.</t>
        </is>
      </c>
      <c r="F788" s="13" t="inlineStr">
        <is>
          <t>См.обл.</t>
        </is>
      </c>
      <c r="G788" s="1" t="inlineStr">
        <is>
          <t>Форджоне А.</t>
        </is>
      </c>
      <c r="H788" s="1" t="inlineStr">
        <is>
          <t>84х108/32</t>
        </is>
      </c>
      <c r="I788" s="1" t="n">
        <v>288</v>
      </c>
      <c r="J788" s="1" t="inlineStr">
        <is>
          <t>РИПОЛ Классик</t>
        </is>
      </c>
      <c r="M788" s="1" t="inlineStr">
        <is>
          <t>2020</t>
        </is>
      </c>
      <c r="N788" s="1" t="inlineStr">
        <is>
          <t>О</t>
        </is>
      </c>
      <c r="O788" s="9" t="n">
        <v>18</v>
      </c>
      <c r="P788" s="1">
        <f>ROUNDUP(887.4*(1-$F$3),2)</f>
        <v/>
      </c>
      <c r="Q788" s="1" t="inlineStr">
        <is>
          <t> </t>
        </is>
      </c>
      <c r="R788" s="1" t="inlineStr">
        <is>
          <t>978-5-386-13695-6</t>
        </is>
      </c>
      <c r="S788" s="1" t="inlineStr">
        <is>
          <t>9785386136956</t>
        </is>
      </c>
      <c r="T788" s="9" t="n">
        <v>10</v>
      </c>
      <c r="U788" s="1">
        <f>ROUNDUP(806.73*(1-$F$3),2)</f>
        <v/>
      </c>
      <c r="V788" s="1" t="n">
        <v>267</v>
      </c>
      <c r="Y788" s="1" t="inlineStr">
        <is>
          <t>Неаполь, любовь моя</t>
        </is>
      </c>
      <c r="Z788" s="1" t="inlineStr">
        <is>
          <t>16+</t>
        </is>
      </c>
      <c r="AA788" s="12" t="n">
        <v>43983</v>
      </c>
      <c r="AB788" s="1" t="inlineStr">
        <is>
          <t>Художественная литература</t>
        </is>
      </c>
      <c r="AC788" s="1" t="inlineStr">
        <is>
          <t>Зарубежная литература</t>
        </is>
      </c>
      <c r="AD788" s="1" t="inlineStr">
        <is>
          <t>Европейская литература</t>
        </is>
      </c>
      <c r="AE788" s="1" t="inlineStr">
        <is>
          <t>офсетная</t>
        </is>
      </c>
      <c r="AG788" s="1" t="n">
        <v>9378850</v>
      </c>
      <c r="AI788" s="1" t="inlineStr">
        <is>
          <t>4901990000</t>
        </is>
      </c>
      <c r="AJ788" s="1" t="inlineStr">
        <is>
          <t>Зпв</t>
        </is>
      </c>
    </row>
    <row r="789" customFormat="1" s="1">
      <c r="C789" s="1" t="inlineStr">
        <is>
          <t xml:space="preserve">11107810            </t>
        </is>
      </c>
      <c r="D789" s="1" t="inlineStr">
        <is>
          <t>Мировой бестселлер</t>
        </is>
      </c>
      <c r="E789" s="1" t="inlineStr">
        <is>
          <t>Свадебный ассистент. Глэдстоун Р.</t>
        </is>
      </c>
      <c r="F789" s="13" t="inlineStr">
        <is>
          <t>См.обл.</t>
        </is>
      </c>
      <c r="G789" s="1" t="inlineStr">
        <is>
          <t>Глэдстоун Р.</t>
        </is>
      </c>
      <c r="H789" s="1" t="inlineStr">
        <is>
          <t>60х90/16</t>
        </is>
      </c>
      <c r="I789" s="1" t="n">
        <v>352</v>
      </c>
      <c r="J789" s="1" t="inlineStr">
        <is>
          <t>РИПОЛ Классик</t>
        </is>
      </c>
      <c r="M789" s="1" t="inlineStr">
        <is>
          <t>2024</t>
        </is>
      </c>
      <c r="N789" s="1" t="inlineStr">
        <is>
          <t>П</t>
        </is>
      </c>
      <c r="O789" s="9" t="n">
        <v>8</v>
      </c>
      <c r="P789" s="1">
        <f>ROUNDUP(1150*(1-$F$3),2)</f>
        <v/>
      </c>
      <c r="Q789" s="1" t="inlineStr">
        <is>
          <t> </t>
        </is>
      </c>
      <c r="R789" s="1" t="inlineStr">
        <is>
          <t>978-5-386-14857-7</t>
        </is>
      </c>
      <c r="S789" s="1" t="inlineStr">
        <is>
          <t>9785386148577</t>
        </is>
      </c>
      <c r="T789" s="9" t="n">
        <v>10</v>
      </c>
      <c r="U789" s="1">
        <f>ROUNDUP(1045.45*(1-$F$3),2)</f>
        <v/>
      </c>
      <c r="V789" s="1" t="n">
        <v>416</v>
      </c>
      <c r="Y789" s="1" t="inlineStr">
        <is>
          <t>Свадебный ассистент</t>
        </is>
      </c>
      <c r="Z789" s="1" t="inlineStr">
        <is>
          <t>16+</t>
        </is>
      </c>
      <c r="AA789" s="12" t="n">
        <v>45217</v>
      </c>
      <c r="AB789" s="1" t="inlineStr">
        <is>
          <t>Художественная литература</t>
        </is>
      </c>
      <c r="AC789" s="1" t="inlineStr">
        <is>
          <t>Сентиментальная проза</t>
        </is>
      </c>
      <c r="AD789" s="1" t="inlineStr">
        <is>
          <t>Зарубежный сентиментальный роман</t>
        </is>
      </c>
      <c r="AE789" s="1" t="inlineStr">
        <is>
          <t>офсетная</t>
        </is>
      </c>
      <c r="AG789" s="1" t="n">
        <v>11107810</v>
      </c>
      <c r="AI789" s="1" t="inlineStr">
        <is>
          <t>4901990000</t>
        </is>
      </c>
    </row>
    <row r="790" customFormat="1" s="1">
      <c r="C790" s="1" t="inlineStr">
        <is>
          <t xml:space="preserve">9286740             </t>
        </is>
      </c>
      <c r="D790" s="1" t="inlineStr">
        <is>
          <t>Мировой бестселлер</t>
        </is>
      </c>
      <c r="E790" s="1" t="inlineStr">
        <is>
          <t>Сезон. Дайер Дж.Л., Дайер С.</t>
        </is>
      </c>
      <c r="F790" s="13" t="inlineStr">
        <is>
          <t>См.обл.</t>
        </is>
      </c>
      <c r="G790" s="1" t="inlineStr">
        <is>
          <t>Дайер Дж.Л., Дайер С.</t>
        </is>
      </c>
      <c r="H790" s="1" t="inlineStr">
        <is>
          <t>84х108/32</t>
        </is>
      </c>
      <c r="I790" s="1" t="n">
        <v>400</v>
      </c>
      <c r="J790" s="1" t="inlineStr">
        <is>
          <t>РИПОЛ Классик</t>
        </is>
      </c>
      <c r="M790" s="1" t="inlineStr">
        <is>
          <t>2021</t>
        </is>
      </c>
      <c r="N790" s="1" t="inlineStr">
        <is>
          <t>П</t>
        </is>
      </c>
      <c r="O790" s="9" t="n">
        <v>10</v>
      </c>
      <c r="P790" s="1">
        <f>ROUNDUP(1160*(1-$F$3),2)</f>
        <v/>
      </c>
      <c r="Q790" s="1" t="inlineStr">
        <is>
          <t> </t>
        </is>
      </c>
      <c r="R790" s="1" t="inlineStr">
        <is>
          <t>978-5-386-13563-8</t>
        </is>
      </c>
      <c r="S790" s="1" t="inlineStr">
        <is>
          <t>9785386135638</t>
        </is>
      </c>
      <c r="T790" s="9" t="n">
        <v>10</v>
      </c>
      <c r="U790" s="1">
        <f>ROUNDUP(1054.55*(1-$F$3),2)</f>
        <v/>
      </c>
      <c r="V790" s="1" t="n">
        <v>441</v>
      </c>
      <c r="Y790" s="1" t="inlineStr">
        <is>
          <t>Сезон</t>
        </is>
      </c>
      <c r="Z790" s="1" t="inlineStr">
        <is>
          <t>16+</t>
        </is>
      </c>
      <c r="AA790" s="12" t="n">
        <v>43881</v>
      </c>
      <c r="AB790" s="1" t="inlineStr">
        <is>
          <t>Художественная литература</t>
        </is>
      </c>
      <c r="AC790" s="1" t="inlineStr">
        <is>
          <t>Зарубежная литература</t>
        </is>
      </c>
      <c r="AD790" s="1" t="inlineStr">
        <is>
          <t>Литература Америки и Австралии</t>
        </is>
      </c>
      <c r="AE790" s="1" t="inlineStr">
        <is>
          <t>офсетная</t>
        </is>
      </c>
      <c r="AG790" s="1" t="n">
        <v>9286740</v>
      </c>
      <c r="AI790" s="1" t="inlineStr">
        <is>
          <t>4901990000</t>
        </is>
      </c>
      <c r="AJ790" s="1" t="inlineStr">
        <is>
          <t>Зпв</t>
        </is>
      </c>
    </row>
    <row r="791" customFormat="1" s="1">
      <c r="C791" s="1" t="inlineStr">
        <is>
          <t xml:space="preserve">10409580            </t>
        </is>
      </c>
      <c r="D791" s="1" t="inlineStr">
        <is>
          <t>Мировой бестселлер</t>
        </is>
      </c>
      <c r="E791" s="1" t="inlineStr">
        <is>
          <t>Сердце джаза. Левестам С.</t>
        </is>
      </c>
      <c r="F791" s="13" t="inlineStr">
        <is>
          <t>См.обл.</t>
        </is>
      </c>
      <c r="G791" s="1" t="inlineStr">
        <is>
          <t>Левестам С.</t>
        </is>
      </c>
      <c r="H791" s="1" t="inlineStr">
        <is>
          <t>60х90/16</t>
        </is>
      </c>
      <c r="I791" s="1" t="n">
        <v>352</v>
      </c>
      <c r="J791" s="1" t="inlineStr">
        <is>
          <t>РИПОЛ Классик</t>
        </is>
      </c>
      <c r="M791" s="1" t="inlineStr">
        <is>
          <t>2022</t>
        </is>
      </c>
      <c r="N791" s="1" t="inlineStr">
        <is>
          <t>О</t>
        </is>
      </c>
      <c r="O791" s="9" t="n">
        <v>8</v>
      </c>
      <c r="P791" s="1">
        <f>ROUNDUP(950*(1-$F$3),2)</f>
        <v/>
      </c>
      <c r="Q791" s="1" t="inlineStr">
        <is>
          <t> </t>
        </is>
      </c>
      <c r="R791" s="1" t="inlineStr">
        <is>
          <t>978-5-386-14750-1</t>
        </is>
      </c>
      <c r="S791" s="1" t="inlineStr">
        <is>
          <t>9785386147501</t>
        </is>
      </c>
      <c r="T791" s="9" t="n">
        <v>10</v>
      </c>
      <c r="U791" s="1">
        <f>ROUNDUP(863.64*(1-$F$3),2)</f>
        <v/>
      </c>
      <c r="V791" s="1" t="n">
        <v>293</v>
      </c>
      <c r="Y791" s="1" t="inlineStr">
        <is>
          <t>Сердце джаза</t>
        </is>
      </c>
      <c r="Z791" s="1" t="inlineStr">
        <is>
          <t>16+</t>
        </is>
      </c>
      <c r="AA791" s="12" t="n">
        <v>44701</v>
      </c>
      <c r="AB791" s="1" t="inlineStr">
        <is>
          <t>Художественная литература</t>
        </is>
      </c>
      <c r="AC791" s="1" t="inlineStr">
        <is>
          <t>Зарубежная литература</t>
        </is>
      </c>
      <c r="AD791" s="1" t="inlineStr">
        <is>
          <t>Европейская литература</t>
        </is>
      </c>
      <c r="AE791" s="1" t="inlineStr">
        <is>
          <t>газетная</t>
        </is>
      </c>
      <c r="AG791" s="1" t="n">
        <v>10409580</v>
      </c>
      <c r="AI791" s="1" t="inlineStr">
        <is>
          <t>4901990000</t>
        </is>
      </c>
    </row>
    <row r="792" customFormat="1" s="1">
      <c r="C792" s="1" t="inlineStr">
        <is>
          <t xml:space="preserve">9806910             </t>
        </is>
      </c>
      <c r="D792" s="1" t="inlineStr">
        <is>
          <t>Мировой бестселлер</t>
        </is>
      </c>
      <c r="E792" s="1" t="inlineStr">
        <is>
          <t>Сердце земли. Габас Л.</t>
        </is>
      </c>
      <c r="F792" s="13" t="inlineStr">
        <is>
          <t>См.обл.</t>
        </is>
      </c>
      <c r="G792" s="1" t="inlineStr">
        <is>
          <t>Габас Л.</t>
        </is>
      </c>
      <c r="H792" s="1" t="inlineStr">
        <is>
          <t>84х108/32</t>
        </is>
      </c>
      <c r="I792" s="1" t="n">
        <v>368</v>
      </c>
      <c r="J792" s="1" t="inlineStr">
        <is>
          <t>РИПОЛ Классик</t>
        </is>
      </c>
      <c r="M792" s="1" t="inlineStr">
        <is>
          <t>2021</t>
        </is>
      </c>
      <c r="N792" s="1" t="inlineStr">
        <is>
          <t>П</t>
        </is>
      </c>
      <c r="O792" s="9" t="n">
        <v>10</v>
      </c>
      <c r="P792" s="1">
        <f>ROUNDUP(1240*(1-$F$3),2)</f>
        <v/>
      </c>
      <c r="Q792" s="1" t="inlineStr">
        <is>
          <t> </t>
        </is>
      </c>
      <c r="R792" s="1" t="inlineStr">
        <is>
          <t>978-5-386-14428-9</t>
        </is>
      </c>
      <c r="S792" s="1" t="inlineStr">
        <is>
          <t>9785386144289</t>
        </is>
      </c>
      <c r="T792" s="9" t="n">
        <v>10</v>
      </c>
      <c r="U792" s="1">
        <f>ROUNDUP(1127.27*(1-$F$3),2)</f>
        <v/>
      </c>
      <c r="V792" s="1" t="n">
        <v>384</v>
      </c>
      <c r="Y792" s="1" t="inlineStr">
        <is>
          <t>Сердце земли</t>
        </is>
      </c>
      <c r="Z792" s="1" t="inlineStr">
        <is>
          <t>16+</t>
        </is>
      </c>
      <c r="AA792" s="12" t="n">
        <v>44467</v>
      </c>
      <c r="AB792" s="1" t="inlineStr">
        <is>
          <t>Художественная литература</t>
        </is>
      </c>
      <c r="AC792" s="1" t="inlineStr">
        <is>
          <t>Детективы. Боевики. Триллеры</t>
        </is>
      </c>
      <c r="AD792" s="1" t="inlineStr">
        <is>
          <t>Зарубежный детектив</t>
        </is>
      </c>
      <c r="AE792" s="1" t="inlineStr">
        <is>
          <t>офсетная</t>
        </is>
      </c>
      <c r="AG792" s="1" t="n">
        <v>9806910</v>
      </c>
      <c r="AI792" s="1" t="inlineStr">
        <is>
          <t>4901990000</t>
        </is>
      </c>
      <c r="AJ792" s="1" t="inlineStr">
        <is>
          <t>Зпв</t>
        </is>
      </c>
    </row>
    <row r="793" customFormat="1" s="1">
      <c r="C793" s="1" t="inlineStr">
        <is>
          <t xml:space="preserve">9632720             </t>
        </is>
      </c>
      <c r="D793" s="1" t="inlineStr">
        <is>
          <t>Мировой бестселлер</t>
        </is>
      </c>
      <c r="E793" s="1" t="inlineStr">
        <is>
          <t>Следы и тропы. Путешествие по дорогам жизни. Мур Р.</t>
        </is>
      </c>
      <c r="F793" s="13" t="inlineStr">
        <is>
          <t>См.обл.</t>
        </is>
      </c>
      <c r="G793" s="1" t="inlineStr">
        <is>
          <t>Мур Р.</t>
        </is>
      </c>
      <c r="H793" s="1" t="inlineStr">
        <is>
          <t>60х90/16</t>
        </is>
      </c>
      <c r="I793" s="1" t="n">
        <v>448</v>
      </c>
      <c r="J793" s="1" t="inlineStr">
        <is>
          <t>РИПОЛ Классик</t>
        </is>
      </c>
      <c r="M793" s="1" t="inlineStr">
        <is>
          <t>2021</t>
        </is>
      </c>
      <c r="N793" s="1" t="inlineStr">
        <is>
          <t>П</t>
        </is>
      </c>
      <c r="O793" s="9" t="n">
        <v>10</v>
      </c>
      <c r="P793" s="1">
        <f>ROUNDUP(1240*(1-$F$3),2)</f>
        <v/>
      </c>
      <c r="Q793" s="1" t="inlineStr">
        <is>
          <t> </t>
        </is>
      </c>
      <c r="R793" s="1" t="inlineStr">
        <is>
          <t>978-5-386-13949-0</t>
        </is>
      </c>
      <c r="S793" s="1" t="inlineStr">
        <is>
          <t>9785386139490</t>
        </is>
      </c>
      <c r="T793" s="9" t="n">
        <v>10</v>
      </c>
      <c r="U793" s="1">
        <f>ROUNDUP(1127.27*(1-$F$3),2)</f>
        <v/>
      </c>
      <c r="V793" s="1" t="n">
        <v>532</v>
      </c>
      <c r="Y793" s="1" t="inlineStr">
        <is>
          <t>Следы и тропы. Путешествие по дорогам жизни</t>
        </is>
      </c>
      <c r="Z793" s="1" t="inlineStr">
        <is>
          <t>16+</t>
        </is>
      </c>
      <c r="AA793" s="12" t="n">
        <v>44273</v>
      </c>
      <c r="AB793" s="1" t="inlineStr">
        <is>
          <t>Естественные науки. Математика</t>
        </is>
      </c>
      <c r="AC793" s="1" t="inlineStr">
        <is>
          <t>Естественные науки в целом</t>
        </is>
      </c>
      <c r="AD793" s="1" t="inlineStr">
        <is>
          <t>Общее естествознание</t>
        </is>
      </c>
      <c r="AE793" s="1" t="inlineStr">
        <is>
          <t>офсетная</t>
        </is>
      </c>
      <c r="AG793" s="1" t="n">
        <v>9632720</v>
      </c>
      <c r="AI793" s="1" t="inlineStr">
        <is>
          <t>4901990000</t>
        </is>
      </c>
      <c r="AJ793" s="1" t="inlineStr">
        <is>
          <t>Зпв</t>
        </is>
      </c>
    </row>
    <row r="794" customFormat="1" s="1">
      <c r="C794" s="1" t="inlineStr">
        <is>
          <t xml:space="preserve">10556720            </t>
        </is>
      </c>
      <c r="D794" s="1" t="inlineStr">
        <is>
          <t>Мировой бестселлер</t>
        </is>
      </c>
      <c r="E794" s="1" t="inlineStr">
        <is>
          <t>Убийство на летнем фестивале. Уолтерс В.</t>
        </is>
      </c>
      <c r="F794" s="13" t="inlineStr">
        <is>
          <t>См.обл.</t>
        </is>
      </c>
      <c r="G794" s="1" t="inlineStr">
        <is>
          <t>Уолтерс В.</t>
        </is>
      </c>
      <c r="H794" s="1" t="inlineStr">
        <is>
          <t>60х90/16</t>
        </is>
      </c>
      <c r="I794" s="1" t="n">
        <v>336</v>
      </c>
      <c r="J794" s="1" t="inlineStr">
        <is>
          <t>РИПОЛ Классик</t>
        </is>
      </c>
      <c r="M794" s="1" t="inlineStr">
        <is>
          <t>2022</t>
        </is>
      </c>
      <c r="N794" s="1" t="inlineStr">
        <is>
          <t>П</t>
        </is>
      </c>
      <c r="O794" s="9" t="n">
        <v>12</v>
      </c>
      <c r="P794" s="1">
        <f>ROUNDUP(1030*(1-$F$3),2)</f>
        <v/>
      </c>
      <c r="Q794" s="1" t="inlineStr">
        <is>
          <t> </t>
        </is>
      </c>
      <c r="R794" s="1" t="inlineStr">
        <is>
          <t>978-5-386-14875-1</t>
        </is>
      </c>
      <c r="S794" s="1" t="inlineStr">
        <is>
          <t>9785386148751</t>
        </is>
      </c>
      <c r="T794" s="9" t="n">
        <v>10</v>
      </c>
      <c r="U794" s="1">
        <f>ROUNDUP(936.36*(1-$F$3),2)</f>
        <v/>
      </c>
      <c r="V794" s="1" t="n">
        <v>413</v>
      </c>
      <c r="Y794" s="1" t="inlineStr">
        <is>
          <t>Убийство на летнем фестивале</t>
        </is>
      </c>
      <c r="Z794" s="1" t="inlineStr">
        <is>
          <t>16+</t>
        </is>
      </c>
      <c r="AA794" s="12" t="n">
        <v>44827</v>
      </c>
      <c r="AB794" s="1" t="inlineStr">
        <is>
          <t>Художественная литература</t>
        </is>
      </c>
      <c r="AC794" s="1" t="inlineStr">
        <is>
          <t>Детективы. Боевики. Триллеры</t>
        </is>
      </c>
      <c r="AD794" s="1" t="inlineStr">
        <is>
          <t>Зарубежный детектив</t>
        </is>
      </c>
      <c r="AE794" s="1" t="inlineStr">
        <is>
          <t>офсетная</t>
        </is>
      </c>
      <c r="AG794" s="1" t="n">
        <v>10556720</v>
      </c>
      <c r="AI794" s="1" t="inlineStr">
        <is>
          <t>4901990000</t>
        </is>
      </c>
    </row>
    <row r="795" customFormat="1" s="1">
      <c r="C795" s="1" t="inlineStr">
        <is>
          <t xml:space="preserve">10419660            </t>
        </is>
      </c>
      <c r="D795" s="1" t="inlineStr">
        <is>
          <t>Мировой бестселлер</t>
        </is>
      </c>
      <c r="E795" s="1" t="inlineStr">
        <is>
          <t>Человек-тень. Филдс Х.</t>
        </is>
      </c>
      <c r="F795" s="13" t="inlineStr">
        <is>
          <t>См.обл.</t>
        </is>
      </c>
      <c r="G795" s="1" t="inlineStr">
        <is>
          <t>Филдс Х.</t>
        </is>
      </c>
      <c r="H795" s="1" t="inlineStr">
        <is>
          <t>60х90/16</t>
        </is>
      </c>
      <c r="I795" s="1" t="n">
        <v>480</v>
      </c>
      <c r="J795" s="1" t="inlineStr">
        <is>
          <t>РИПОЛ Классик</t>
        </is>
      </c>
      <c r="M795" s="1" t="inlineStr">
        <is>
          <t>2022</t>
        </is>
      </c>
      <c r="N795" s="1" t="inlineStr">
        <is>
          <t>О</t>
        </is>
      </c>
      <c r="O795" s="9" t="n">
        <v>6</v>
      </c>
      <c r="P795" s="1">
        <f>ROUNDUP(1060*(1-$F$3),2)</f>
        <v/>
      </c>
      <c r="Q795" s="1" t="inlineStr">
        <is>
          <t> </t>
        </is>
      </c>
      <c r="R795" s="1" t="inlineStr">
        <is>
          <t>978-5-386-14676-4</t>
        </is>
      </c>
      <c r="S795" s="1" t="inlineStr">
        <is>
          <t>9785386146764</t>
        </is>
      </c>
      <c r="T795" s="9" t="n">
        <v>10</v>
      </c>
      <c r="U795" s="1">
        <f>ROUNDUP(963.64*(1-$F$3),2)</f>
        <v/>
      </c>
      <c r="V795" s="1" t="n">
        <v>405</v>
      </c>
      <c r="Y795" s="1" t="inlineStr">
        <is>
          <t>Человек-тень</t>
        </is>
      </c>
      <c r="Z795" s="1" t="inlineStr">
        <is>
          <t>18+</t>
        </is>
      </c>
      <c r="AA795" s="12" t="n">
        <v>44708</v>
      </c>
      <c r="AB795" s="1" t="inlineStr">
        <is>
          <t>Художественная литература</t>
        </is>
      </c>
      <c r="AC795" s="1" t="inlineStr">
        <is>
          <t>Детективы. Боевики. Триллеры</t>
        </is>
      </c>
      <c r="AD795" s="1" t="inlineStr">
        <is>
          <t>Зарубежный детектив</t>
        </is>
      </c>
      <c r="AE795" s="1" t="inlineStr">
        <is>
          <t>газетная</t>
        </is>
      </c>
      <c r="AG795" s="1" t="n">
        <v>10419660</v>
      </c>
      <c r="AI795" s="1" t="inlineStr">
        <is>
          <t>4901990000</t>
        </is>
      </c>
    </row>
    <row r="796" customFormat="1" s="1">
      <c r="C796" s="1" t="inlineStr">
        <is>
          <t>11771230</t>
        </is>
      </c>
      <c r="D796" s="1" t="inlineStr">
        <is>
          <t>Мистический триллер</t>
        </is>
      </c>
      <c r="E796" s="1" t="inlineStr">
        <is>
          <t>С ключом на шее: роман (нов). Шаинян К.С</t>
        </is>
      </c>
      <c r="F796" s="13" t="inlineStr">
        <is>
          <t>См.обл.</t>
        </is>
      </c>
      <c r="G796" s="1" t="inlineStr">
        <is>
          <t>Шаинян К.С</t>
        </is>
      </c>
      <c r="H796" s="1" t="inlineStr">
        <is>
          <t>60х90/16</t>
        </is>
      </c>
      <c r="I796" s="1" t="n">
        <v>400</v>
      </c>
      <c r="J796" s="1" t="inlineStr">
        <is>
          <t>РИПОЛ Классик</t>
        </is>
      </c>
      <c r="M796" s="1" t="inlineStr">
        <is>
          <t>2022</t>
        </is>
      </c>
      <c r="N796" s="1" t="inlineStr">
        <is>
          <t>П</t>
        </is>
      </c>
      <c r="O796" s="9" t="n">
        <v>8</v>
      </c>
      <c r="P796" s="1">
        <f>ROUNDUP(1240*(1-$F$3),2)</f>
        <v/>
      </c>
      <c r="Q796" s="1" t="inlineStr">
        <is>
          <t> </t>
        </is>
      </c>
      <c r="R796" s="1" t="inlineStr">
        <is>
          <t>978-5-386-15458-5</t>
        </is>
      </c>
      <c r="S796" s="1" t="inlineStr">
        <is>
          <t>9785386154585</t>
        </is>
      </c>
      <c r="T796" s="9" t="n">
        <v>22</v>
      </c>
      <c r="U796" s="1">
        <f>ROUNDUP(1016.39*(1-$F$3),2)</f>
        <v/>
      </c>
      <c r="V796" s="1" t="n">
        <v>474</v>
      </c>
      <c r="Y796" s="1" t="inlineStr">
        <is>
          <t>С ключом на шее: роман (нов)</t>
        </is>
      </c>
      <c r="Z796" s="1" t="inlineStr">
        <is>
          <t>18+</t>
        </is>
      </c>
      <c r="AA796" s="12" t="n">
        <v>45818</v>
      </c>
      <c r="AB796" s="1" t="inlineStr">
        <is>
          <t>Художественная литература</t>
        </is>
      </c>
      <c r="AC796" s="1" t="inlineStr">
        <is>
          <t>Детективы. Боевики. Триллеры</t>
        </is>
      </c>
      <c r="AD796" s="1" t="inlineStr">
        <is>
          <t>Триллеры</t>
        </is>
      </c>
      <c r="AE796" s="1" t="inlineStr">
        <is>
          <t>офсетная</t>
        </is>
      </c>
      <c r="AG796" s="1" t="n">
        <v>11771230</v>
      </c>
      <c r="AI796" s="1" t="inlineStr">
        <is>
          <t>4901990000</t>
        </is>
      </c>
      <c r="AJ796" s="1" t="inlineStr">
        <is>
          <t>Зпв</t>
        </is>
      </c>
    </row>
    <row r="797" customFormat="1" s="1">
      <c r="C797" s="1" t="inlineStr">
        <is>
          <t xml:space="preserve">8467010             </t>
        </is>
      </c>
      <c r="D797" s="1" t="inlineStr">
        <is>
          <t>Мое здоровье</t>
        </is>
      </c>
      <c r="E797" s="1" t="inlineStr">
        <is>
          <t xml:space="preserve">Лечимся дома. Диабет. </t>
        </is>
      </c>
      <c r="F797" s="13" t="inlineStr">
        <is>
          <t>См.обл.</t>
        </is>
      </c>
      <c r="H797" s="1" t="inlineStr">
        <is>
          <t>84х108/32</t>
        </is>
      </c>
      <c r="I797" s="1" t="n">
        <v>288</v>
      </c>
      <c r="J797" s="1" t="inlineStr">
        <is>
          <t>РИПОЛ Классик</t>
        </is>
      </c>
      <c r="M797" s="1" t="inlineStr">
        <is>
          <t>2020</t>
        </is>
      </c>
      <c r="N797" s="1" t="inlineStr">
        <is>
          <t>П</t>
        </is>
      </c>
      <c r="O797" s="9" t="n">
        <v>14</v>
      </c>
      <c r="P797" s="1">
        <f>ROUNDUP(780*(1-$F$3),2)</f>
        <v/>
      </c>
      <c r="Q797" s="1" t="inlineStr">
        <is>
          <t> </t>
        </is>
      </c>
      <c r="R797" s="1" t="inlineStr">
        <is>
          <t>978-5-386-10586-0</t>
        </is>
      </c>
      <c r="S797" s="1" t="inlineStr">
        <is>
          <t>9785386105860</t>
        </is>
      </c>
      <c r="T797" s="9" t="n">
        <v>10</v>
      </c>
      <c r="U797" s="1">
        <f>ROUNDUP(709.09*(1-$F$3),2)</f>
        <v/>
      </c>
      <c r="V797" s="1" t="n">
        <v>259</v>
      </c>
      <c r="Y797" s="1" t="inlineStr">
        <is>
          <t>Лечимся дома. Диабет</t>
        </is>
      </c>
      <c r="Z797" s="1" t="inlineStr">
        <is>
          <t>16+</t>
        </is>
      </c>
      <c r="AA797" s="12" t="n">
        <v>43153</v>
      </c>
      <c r="AB797" s="1" t="inlineStr">
        <is>
          <t>Медицина</t>
        </is>
      </c>
      <c r="AC797" s="1" t="inlineStr">
        <is>
          <t>Популярная и нетрадиционная медицина</t>
        </is>
      </c>
      <c r="AD797" s="1" t="inlineStr">
        <is>
          <t>Болезни, их профилактика и лечение</t>
        </is>
      </c>
      <c r="AE797" s="1" t="inlineStr">
        <is>
          <t>газетная</t>
        </is>
      </c>
      <c r="AG797" s="1" t="n">
        <v>8467010</v>
      </c>
      <c r="AI797" s="1" t="inlineStr">
        <is>
          <t>4901990000</t>
        </is>
      </c>
    </row>
    <row r="798" customFormat="1" s="1">
      <c r="C798" s="1" t="inlineStr">
        <is>
          <t xml:space="preserve">11946570            </t>
        </is>
      </c>
      <c r="D798" s="1" t="inlineStr">
        <is>
          <t>Молодые и злые</t>
        </is>
      </c>
      <c r="E798" s="1" t="inlineStr">
        <is>
          <t>Последняя обитель. Мамон А.В</t>
        </is>
      </c>
      <c r="F798" s="13" t="inlineStr">
        <is>
          <t>См.обл.</t>
        </is>
      </c>
      <c r="G798" s="1" t="inlineStr">
        <is>
          <t>Мамон А.В</t>
        </is>
      </c>
      <c r="H798" s="1" t="inlineStr">
        <is>
          <t>60х90/16</t>
        </is>
      </c>
      <c r="I798" s="1" t="n">
        <v>272</v>
      </c>
      <c r="J798" s="1" t="inlineStr">
        <is>
          <t>РИПОЛ Классик</t>
        </is>
      </c>
      <c r="M798" s="1" t="inlineStr">
        <is>
          <t>2026</t>
        </is>
      </c>
      <c r="N798" s="1" t="inlineStr">
        <is>
          <t>П</t>
        </is>
      </c>
      <c r="O798" s="9" t="n">
        <v>10</v>
      </c>
      <c r="P798" s="1">
        <f>ROUNDUP(990*(1-$F$3),2)</f>
        <v/>
      </c>
      <c r="Q798" s="1" t="inlineStr">
        <is>
          <t> </t>
        </is>
      </c>
      <c r="R798" s="1" t="inlineStr">
        <is>
          <t>978-5-386-15533-9</t>
        </is>
      </c>
      <c r="S798" s="1" t="inlineStr">
        <is>
          <t>9785386155339</t>
        </is>
      </c>
      <c r="T798" s="9" t="n">
        <v>10</v>
      </c>
      <c r="U798" s="1">
        <f>ROUNDUP(900*(1-$F$3),2)</f>
        <v/>
      </c>
      <c r="V798" s="1" t="n">
        <v>427</v>
      </c>
      <c r="Y798" s="1" t="inlineStr">
        <is>
          <t>Последняя обитель</t>
        </is>
      </c>
      <c r="Z798" s="1" t="inlineStr">
        <is>
          <t>16+</t>
        </is>
      </c>
      <c r="AA798" s="12" t="n">
        <v>45987</v>
      </c>
      <c r="AB798" s="1" t="inlineStr">
        <is>
          <t>Художественная литература</t>
        </is>
      </c>
      <c r="AC798" s="1" t="inlineStr">
        <is>
          <t>Русская литература</t>
        </is>
      </c>
      <c r="AD798" s="1" t="inlineStr">
        <is>
          <t>Современная литература</t>
        </is>
      </c>
      <c r="AE798" s="1" t="inlineStr">
        <is>
          <t>офсетная</t>
        </is>
      </c>
      <c r="AG798" s="1" t="n">
        <v>11946570</v>
      </c>
      <c r="AI798" s="1" t="inlineStr">
        <is>
          <t>4901990000</t>
        </is>
      </c>
    </row>
    <row r="799" customFormat="1" s="1">
      <c r="C799" s="1" t="inlineStr">
        <is>
          <t xml:space="preserve">8830300             </t>
        </is>
      </c>
      <c r="D799" s="1" t="inlineStr">
        <is>
          <t>Москитолэнд</t>
        </is>
      </c>
      <c r="E799" s="1" t="inlineStr">
        <is>
          <t>Москитолэнд. Арнольд Д.</t>
        </is>
      </c>
      <c r="F799" s="13" t="inlineStr">
        <is>
          <t>См.обл.</t>
        </is>
      </c>
      <c r="G799" s="1" t="inlineStr">
        <is>
          <t>Арнольд Д.</t>
        </is>
      </c>
      <c r="H799" s="1" t="inlineStr">
        <is>
          <t>60х90/16</t>
        </is>
      </c>
      <c r="I799" s="1" t="n">
        <v>383</v>
      </c>
      <c r="J799" s="1" t="inlineStr">
        <is>
          <t>РИПОЛ Классик</t>
        </is>
      </c>
      <c r="K799" s="1" t="inlineStr">
        <is>
          <t>Пальмира</t>
        </is>
      </c>
      <c r="M799" s="1" t="inlineStr">
        <is>
          <t>2019</t>
        </is>
      </c>
      <c r="N799" s="1" t="inlineStr">
        <is>
          <t>П</t>
        </is>
      </c>
      <c r="O799" s="9" t="n">
        <v>12</v>
      </c>
      <c r="P799" s="1">
        <f>ROUNDUP(1142.6*(1-$F$3),2)</f>
        <v/>
      </c>
      <c r="Q799" s="1" t="inlineStr">
        <is>
          <t> </t>
        </is>
      </c>
      <c r="R799" s="1" t="inlineStr">
        <is>
          <t>978-5-386-10747-5</t>
        </is>
      </c>
      <c r="S799" s="1" t="inlineStr">
        <is>
          <t>9785386107475</t>
        </is>
      </c>
      <c r="T799" s="9" t="n">
        <v>10</v>
      </c>
      <c r="U799" s="1">
        <f>ROUNDUP(1038.73*(1-$F$3),2)</f>
        <v/>
      </c>
      <c r="V799" s="1" t="n">
        <v>479</v>
      </c>
      <c r="Y799" s="1" t="inlineStr">
        <is>
          <t>Москитолэнд</t>
        </is>
      </c>
      <c r="Z799" s="1" t="inlineStr">
        <is>
          <t>16+</t>
        </is>
      </c>
      <c r="AA799" s="12" t="n">
        <v>43415</v>
      </c>
      <c r="AB799" s="1" t="inlineStr">
        <is>
          <t>Художественная литература</t>
        </is>
      </c>
      <c r="AC799" s="1" t="inlineStr">
        <is>
          <t>Зарубежная литература</t>
        </is>
      </c>
      <c r="AD799" s="1" t="inlineStr">
        <is>
          <t>Литература Америки и Австралии</t>
        </is>
      </c>
      <c r="AE799" s="1" t="inlineStr">
        <is>
          <t>офсетная</t>
        </is>
      </c>
      <c r="AG799" s="1" t="n">
        <v>8830300</v>
      </c>
      <c r="AI799" s="1" t="inlineStr">
        <is>
          <t>4901990000</t>
        </is>
      </c>
      <c r="AJ799" s="1" t="inlineStr">
        <is>
          <t>Зпв</t>
        </is>
      </c>
    </row>
    <row r="800" customFormat="1" s="1">
      <c r="C800" s="1" t="inlineStr">
        <is>
          <t xml:space="preserve">12110210            </t>
        </is>
      </c>
      <c r="D800" s="1" t="inlineStr">
        <is>
          <t>Мудрые родители</t>
        </is>
      </c>
      <c r="E800" s="1" t="inlineStr">
        <is>
          <t>12 ключей к воспитанию ребенка. Воспитание без неврозов, чувства вины и сорванного голоса. Спехова Н.В.</t>
        </is>
      </c>
      <c r="F800" s="13" t="inlineStr">
        <is>
          <t>См.обл.</t>
        </is>
      </c>
      <c r="G800" s="1" t="inlineStr">
        <is>
          <t>Спехова Н.В.</t>
        </is>
      </c>
      <c r="H800" s="1" t="inlineStr">
        <is>
          <t>60х90/16</t>
        </is>
      </c>
      <c r="I800" s="1" t="n">
        <v>384</v>
      </c>
      <c r="J800" s="1" t="inlineStr">
        <is>
          <t>РИПОЛ Классик</t>
        </is>
      </c>
      <c r="M800" s="1" t="inlineStr">
        <is>
          <t>2026</t>
        </is>
      </c>
      <c r="N800" s="1" t="inlineStr">
        <is>
          <t>П</t>
        </is>
      </c>
      <c r="O800" s="9" t="n">
        <v>10</v>
      </c>
      <c r="P800" s="1">
        <f>ROUNDUP(1190*(1-$F$3),2)</f>
        <v/>
      </c>
      <c r="Q800" s="1" t="inlineStr">
        <is>
          <t> </t>
        </is>
      </c>
      <c r="R800" s="1" t="inlineStr">
        <is>
          <t>978-5-386-15579-7</t>
        </is>
      </c>
      <c r="S800" s="1" t="inlineStr">
        <is>
          <t>9785386155797</t>
        </is>
      </c>
      <c r="T800" s="9" t="n">
        <v>10</v>
      </c>
      <c r="U800" s="1">
        <f>ROUNDUP(1081.82*(1-$F$3),2)</f>
        <v/>
      </c>
      <c r="V800" s="1" t="n">
        <v>472</v>
      </c>
      <c r="Y800" s="1" t="inlineStr">
        <is>
          <t>12 ключей к воспитанию ребенка. Воспитание без неврозов, чувства вины и сорванного голоса</t>
        </is>
      </c>
      <c r="Z800" s="1" t="inlineStr">
        <is>
          <t>12+</t>
        </is>
      </c>
      <c r="AA800" s="12" t="n">
        <v>46147</v>
      </c>
      <c r="AB800" s="1" t="inlineStr">
        <is>
          <t>Детская литература</t>
        </is>
      </c>
      <c r="AC800" s="1" t="inlineStr">
        <is>
          <t>Книги для родителей</t>
        </is>
      </c>
      <c r="AD800" s="1" t="inlineStr">
        <is>
          <t>Психология для родителей. Семейное воспитание</t>
        </is>
      </c>
      <c r="AE800" s="1" t="inlineStr">
        <is>
          <t>офсетная</t>
        </is>
      </c>
      <c r="AG800" s="1" t="n">
        <v>12110210</v>
      </c>
      <c r="AI800" s="1" t="inlineStr">
        <is>
          <t>4901990000</t>
        </is>
      </c>
    </row>
    <row r="801" customFormat="1" s="1">
      <c r="C801" s="1" t="inlineStr">
        <is>
          <t xml:space="preserve">9597400             </t>
        </is>
      </c>
      <c r="D801" s="1" t="inlineStr">
        <is>
          <t>Мужчина и женщина</t>
        </is>
      </c>
      <c r="E801" s="1" t="inlineStr">
        <is>
          <t>Мужчины и женщины существуют. Каковкин Г.В.</t>
        </is>
      </c>
      <c r="F801" s="13" t="inlineStr">
        <is>
          <t>См.обл.</t>
        </is>
      </c>
      <c r="G801" s="1" t="inlineStr">
        <is>
          <t>Каковкин Г.В.</t>
        </is>
      </c>
      <c r="H801" s="1" t="inlineStr">
        <is>
          <t>84х108/32</t>
        </is>
      </c>
      <c r="I801" s="1" t="n">
        <v>310</v>
      </c>
      <c r="J801" s="1" t="inlineStr">
        <is>
          <t>РИПОЛ Классик</t>
        </is>
      </c>
      <c r="M801" s="1" t="inlineStr">
        <is>
          <t>2021</t>
        </is>
      </c>
      <c r="N801" s="1" t="inlineStr">
        <is>
          <t>О</t>
        </is>
      </c>
      <c r="O801" s="9" t="n">
        <v>12</v>
      </c>
      <c r="P801" s="1">
        <f>ROUNDUP(1023.9*(1-$F$3),2)</f>
        <v/>
      </c>
      <c r="Q801" s="1" t="inlineStr">
        <is>
          <t> </t>
        </is>
      </c>
      <c r="R801" s="1" t="inlineStr">
        <is>
          <t>978-5-386-13805-9</t>
        </is>
      </c>
      <c r="S801" s="1" t="inlineStr">
        <is>
          <t>9785386138059</t>
        </is>
      </c>
      <c r="T801" s="9" t="n">
        <v>10</v>
      </c>
      <c r="U801" s="1">
        <f>ROUNDUP(930.82*(1-$F$3),2)</f>
        <v/>
      </c>
      <c r="V801" s="1" t="n">
        <v>275</v>
      </c>
      <c r="Y801" s="1" t="inlineStr">
        <is>
          <t>Мужчины и женщины существуют</t>
        </is>
      </c>
      <c r="Z801" s="1" t="inlineStr">
        <is>
          <t>16+</t>
        </is>
      </c>
      <c r="AA801" s="12" t="n">
        <v>44210</v>
      </c>
      <c r="AB801" s="1" t="inlineStr">
        <is>
          <t>Художественная литература</t>
        </is>
      </c>
      <c r="AC801" s="1" t="inlineStr">
        <is>
          <t>Русская литература</t>
        </is>
      </c>
      <c r="AD801" s="1" t="inlineStr">
        <is>
          <t>Современная литература</t>
        </is>
      </c>
      <c r="AE801" s="1" t="inlineStr">
        <is>
          <t>офсетная</t>
        </is>
      </c>
      <c r="AG801" s="1" t="n">
        <v>9597400</v>
      </c>
      <c r="AI801" s="1" t="inlineStr">
        <is>
          <t>4901990000</t>
        </is>
      </c>
    </row>
    <row r="802" customFormat="1" s="1">
      <c r="C802" s="1" t="inlineStr">
        <is>
          <t xml:space="preserve">10488820            </t>
        </is>
      </c>
      <c r="D802" s="1" t="inlineStr">
        <is>
          <t>Мыслители России</t>
        </is>
      </c>
      <c r="E802" s="1" t="inlineStr">
        <is>
          <t>Нам нужна великая Россия. Избранные статьи и речи. Столыпин П.А.</t>
        </is>
      </c>
      <c r="F802" s="13" t="inlineStr">
        <is>
          <t>См.обл.</t>
        </is>
      </c>
      <c r="G802" s="1" t="inlineStr">
        <is>
          <t>Столыпин П.А.</t>
        </is>
      </c>
      <c r="H802" s="1" t="inlineStr">
        <is>
          <t>84х108/32</t>
        </is>
      </c>
      <c r="I802" s="1" t="n">
        <v>742</v>
      </c>
      <c r="J802" s="1" t="inlineStr">
        <is>
          <t>РИПОЛ Классик</t>
        </is>
      </c>
      <c r="M802" s="1" t="inlineStr">
        <is>
          <t>2026</t>
        </is>
      </c>
      <c r="N802" s="1" t="inlineStr">
        <is>
          <t>П</t>
        </is>
      </c>
      <c r="O802" s="9" t="n">
        <v>6</v>
      </c>
      <c r="P802" s="1">
        <f>ROUNDUP(1770*(1-$F$3),2)</f>
        <v/>
      </c>
      <c r="Q802" s="1" t="inlineStr">
        <is>
          <t> </t>
        </is>
      </c>
      <c r="R802" s="1" t="inlineStr">
        <is>
          <t>978-5-386-14813-3</t>
        </is>
      </c>
      <c r="S802" s="1" t="inlineStr">
        <is>
          <t>9785386148133</t>
        </is>
      </c>
      <c r="T802" s="9" t="n">
        <v>10</v>
      </c>
      <c r="U802" s="1">
        <f>ROUNDUP(1609.09*(1-$F$3),2)</f>
        <v/>
      </c>
      <c r="V802" s="1" t="n">
        <v>727</v>
      </c>
      <c r="Y802" s="1" t="inlineStr">
        <is>
          <t>Нам нужна великая Россия. Избранные статьи и речи</t>
        </is>
      </c>
      <c r="Z802" s="1" t="inlineStr">
        <is>
          <t>12+</t>
        </is>
      </c>
      <c r="AA802" s="12" t="n">
        <v>44732</v>
      </c>
      <c r="AB802" s="1" t="inlineStr">
        <is>
          <t>Общественные науки</t>
        </is>
      </c>
      <c r="AC802" s="1" t="inlineStr">
        <is>
          <t>Политика</t>
        </is>
      </c>
      <c r="AD802" s="1" t="inlineStr">
        <is>
          <t>Государственное управление. Власть</t>
        </is>
      </c>
      <c r="AE802" s="1" t="inlineStr">
        <is>
          <t>офсетная</t>
        </is>
      </c>
      <c r="AG802" s="1" t="n">
        <v>10488820</v>
      </c>
      <c r="AI802" s="1" t="inlineStr">
        <is>
          <t>4901990000</t>
        </is>
      </c>
    </row>
    <row r="803" customFormat="1" s="1">
      <c r="C803" s="1" t="inlineStr">
        <is>
          <t xml:space="preserve">10482280            </t>
        </is>
      </c>
      <c r="D803" s="1" t="inlineStr">
        <is>
          <t>Мыслители России</t>
        </is>
      </c>
      <c r="E803" s="1" t="inlineStr">
        <is>
          <t>Россия. Путь к возрождению. Ильин И.А.</t>
        </is>
      </c>
      <c r="F803" s="13" t="inlineStr">
        <is>
          <t>См.обл.</t>
        </is>
      </c>
      <c r="G803" s="1" t="inlineStr">
        <is>
          <t>Ильин И.А.</t>
        </is>
      </c>
      <c r="H803" s="1" t="inlineStr">
        <is>
          <t>84х108/32</t>
        </is>
      </c>
      <c r="I803" s="1" t="n">
        <v>768</v>
      </c>
      <c r="J803" s="1" t="inlineStr">
        <is>
          <t>РИПОЛ Классик</t>
        </is>
      </c>
      <c r="M803" s="1" t="inlineStr">
        <is>
          <t>2025</t>
        </is>
      </c>
      <c r="N803" s="1" t="inlineStr">
        <is>
          <t>П</t>
        </is>
      </c>
      <c r="O803" s="9" t="n">
        <v>6</v>
      </c>
      <c r="P803" s="1">
        <f>ROUNDUP(2090*(1-$F$3),2)</f>
        <v/>
      </c>
      <c r="Q803" s="1" t="inlineStr">
        <is>
          <t> </t>
        </is>
      </c>
      <c r="R803" s="1" t="inlineStr">
        <is>
          <t>978-5-386-14815-7</t>
        </is>
      </c>
      <c r="S803" s="1" t="inlineStr">
        <is>
          <t>9785386148157</t>
        </is>
      </c>
      <c r="T803" s="9" t="n">
        <v>10</v>
      </c>
      <c r="U803" s="1">
        <f>ROUNDUP(1900*(1-$F$3),2)</f>
        <v/>
      </c>
      <c r="V803" s="1" t="n">
        <v>739</v>
      </c>
      <c r="Y803" s="1" t="inlineStr">
        <is>
          <t>Россия. Путь к возрождению</t>
        </is>
      </c>
      <c r="Z803" s="1" t="inlineStr">
        <is>
          <t>16+</t>
        </is>
      </c>
      <c r="AA803" s="12" t="n">
        <v>44732</v>
      </c>
      <c r="AB803" s="1" t="inlineStr">
        <is>
          <t>Гуманитарные науки</t>
        </is>
      </c>
      <c r="AC803" s="1" t="inlineStr">
        <is>
          <t>Философские науки</t>
        </is>
      </c>
      <c r="AD803" s="1" t="inlineStr">
        <is>
          <t>Философия в целом. Труды</t>
        </is>
      </c>
      <c r="AE803" s="1" t="inlineStr">
        <is>
          <t>офсетная</t>
        </is>
      </c>
      <c r="AG803" s="1" t="n">
        <v>10482280</v>
      </c>
      <c r="AI803" s="1" t="inlineStr">
        <is>
          <t>4901990000</t>
        </is>
      </c>
    </row>
    <row r="804" customFormat="1" s="1">
      <c r="C804" s="1" t="inlineStr">
        <is>
          <t xml:space="preserve">10482270            </t>
        </is>
      </c>
      <c r="D804" s="1" t="inlineStr">
        <is>
          <t>Мыслители России</t>
        </is>
      </c>
      <c r="E804" s="1" t="inlineStr">
        <is>
          <t>Сила и правда России. Достоевский Ф.М.</t>
        </is>
      </c>
      <c r="F804" s="13" t="inlineStr">
        <is>
          <t>См.обл.</t>
        </is>
      </c>
      <c r="G804" s="1" t="inlineStr">
        <is>
          <t>Достоевский Ф.М.</t>
        </is>
      </c>
      <c r="H804" s="1" t="inlineStr">
        <is>
          <t>84х108/32</t>
        </is>
      </c>
      <c r="I804" s="1" t="n">
        <v>832</v>
      </c>
      <c r="J804" s="1" t="inlineStr">
        <is>
          <t>РИПОЛ Классик</t>
        </is>
      </c>
      <c r="M804" s="1" t="inlineStr">
        <is>
          <t>2026</t>
        </is>
      </c>
      <c r="N804" s="1" t="inlineStr">
        <is>
          <t>П</t>
        </is>
      </c>
      <c r="O804" s="9" t="n">
        <v>4</v>
      </c>
      <c r="P804" s="1">
        <f>ROUNDUP(1639*(1-$F$3),2)</f>
        <v/>
      </c>
      <c r="Q804" s="1" t="inlineStr">
        <is>
          <t> </t>
        </is>
      </c>
      <c r="R804" s="1" t="inlineStr">
        <is>
          <t>978-5-386-14816-4</t>
        </is>
      </c>
      <c r="S804" s="1" t="inlineStr">
        <is>
          <t>9785386148164</t>
        </is>
      </c>
      <c r="T804" s="9" t="n">
        <v>10</v>
      </c>
      <c r="U804" s="1">
        <f>ROUNDUP(1490*(1-$F$3),2)</f>
        <v/>
      </c>
      <c r="V804" s="1" t="n">
        <v>804</v>
      </c>
      <c r="Y804" s="1" t="inlineStr">
        <is>
          <t>Сила и правда России</t>
        </is>
      </c>
      <c r="Z804" s="1" t="inlineStr">
        <is>
          <t>12+</t>
        </is>
      </c>
      <c r="AA804" s="12" t="n">
        <v>44732</v>
      </c>
      <c r="AB804" s="1" t="inlineStr">
        <is>
          <t>Гуманитарные науки</t>
        </is>
      </c>
      <c r="AC804" s="1" t="inlineStr">
        <is>
          <t>Философские науки</t>
        </is>
      </c>
      <c r="AD804" s="1" t="inlineStr">
        <is>
          <t>Философия в целом. Труды</t>
        </is>
      </c>
      <c r="AE804" s="1" t="inlineStr">
        <is>
          <t>офсетная</t>
        </is>
      </c>
      <c r="AG804" s="1" t="n">
        <v>10482270</v>
      </c>
      <c r="AI804" s="1" t="inlineStr">
        <is>
          <t>4901990000</t>
        </is>
      </c>
    </row>
    <row r="805" customFormat="1" s="1">
      <c r="C805" s="1" t="inlineStr">
        <is>
          <t xml:space="preserve">9416860             </t>
        </is>
      </c>
      <c r="D805" s="1" t="inlineStr">
        <is>
          <t>Народы и страны</t>
        </is>
      </c>
      <c r="E805" s="1" t="inlineStr">
        <is>
          <t>Венец моды и традиции. Головные уборы народов мира. Бабаев К.В.</t>
        </is>
      </c>
      <c r="F805" s="13" t="inlineStr">
        <is>
          <t>См.обл.</t>
        </is>
      </c>
      <c r="G805" s="1" t="inlineStr">
        <is>
          <t>Бабаев К.В.</t>
        </is>
      </c>
      <c r="H805" s="1" t="inlineStr">
        <is>
          <t>70х100/16</t>
        </is>
      </c>
      <c r="I805" s="1" t="n">
        <v>192</v>
      </c>
      <c r="J805" s="1" t="inlineStr">
        <is>
          <t>РИПОЛ Классик</t>
        </is>
      </c>
      <c r="M805" s="1" t="inlineStr">
        <is>
          <t>2020</t>
        </is>
      </c>
      <c r="N805" s="1" t="inlineStr">
        <is>
          <t>П</t>
        </is>
      </c>
      <c r="O805" s="9" t="n">
        <v>10</v>
      </c>
      <c r="P805" s="1">
        <f>ROUNDUP(2130*(1-$F$3),2)</f>
        <v/>
      </c>
      <c r="Q805" s="1" t="inlineStr">
        <is>
          <t> </t>
        </is>
      </c>
      <c r="R805" s="1" t="inlineStr">
        <is>
          <t>978-5-386-13659-8</t>
        </is>
      </c>
      <c r="S805" s="1" t="inlineStr">
        <is>
          <t>9785386136598</t>
        </is>
      </c>
      <c r="T805" s="9" t="n">
        <v>10</v>
      </c>
      <c r="U805" s="1">
        <f>ROUNDUP(1936.36*(1-$F$3),2)</f>
        <v/>
      </c>
      <c r="V805" s="1" t="n">
        <v>534</v>
      </c>
      <c r="Y805" s="1" t="inlineStr">
        <is>
          <t>Венец моды и традиции. Головные уборы народов мира</t>
        </is>
      </c>
      <c r="Z805" s="1" t="inlineStr">
        <is>
          <t>12+</t>
        </is>
      </c>
      <c r="AA805" s="12" t="n">
        <v>44015</v>
      </c>
      <c r="AB805" s="1" t="inlineStr">
        <is>
          <t>Общественные науки</t>
        </is>
      </c>
      <c r="AC805" s="1" t="inlineStr">
        <is>
          <t>Этнография</t>
        </is>
      </c>
      <c r="AD805" s="1" t="inlineStr">
        <is>
          <t>Историческая этнография</t>
        </is>
      </c>
      <c r="AE805" s="1" t="inlineStr">
        <is>
          <t>офсетная</t>
        </is>
      </c>
      <c r="AG805" s="1" t="n">
        <v>9416860</v>
      </c>
      <c r="AI805" s="1" t="inlineStr">
        <is>
          <t>4901990000</t>
        </is>
      </c>
    </row>
    <row r="806" customFormat="1" s="11">
      <c r="A806" s="11" t="inlineStr">
        <is>
          <t>нов</t>
        </is>
      </c>
      <c r="C806" s="11" t="inlineStr">
        <is>
          <t xml:space="preserve">12256970            </t>
        </is>
      </c>
      <c r="D806" s="11" t="inlineStr">
        <is>
          <t>Наследники</t>
        </is>
      </c>
      <c r="E806" s="11" t="inlineStr">
        <is>
          <t>Голубая книга через сто лет. Зощенко М.М.</t>
        </is>
      </c>
      <c r="F806" s="14" t="inlineStr">
        <is>
          <t>См.обл.</t>
        </is>
      </c>
      <c r="G806" s="11" t="inlineStr">
        <is>
          <t>Зощенко М.М.</t>
        </is>
      </c>
      <c r="H806" s="11" t="inlineStr">
        <is>
          <t>60х90/16</t>
        </is>
      </c>
      <c r="I806" s="11" t="n">
        <v>624</v>
      </c>
      <c r="J806" s="11" t="inlineStr">
        <is>
          <t>РИПОЛ Классик</t>
        </is>
      </c>
      <c r="M806" s="11" t="inlineStr">
        <is>
          <t>2026</t>
        </is>
      </c>
      <c r="N806" s="11" t="inlineStr">
        <is>
          <t>П</t>
        </is>
      </c>
      <c r="O806" s="26" t="n">
        <v>6</v>
      </c>
      <c r="P806" s="11">
        <f>ROUNDUP(1790*(1-$F$3),2)</f>
        <v/>
      </c>
      <c r="Q806" s="11" t="inlineStr">
        <is>
          <t> </t>
        </is>
      </c>
      <c r="R806" s="11" t="inlineStr">
        <is>
          <t>978-5-386-15489-9</t>
        </is>
      </c>
      <c r="S806" s="11" t="inlineStr">
        <is>
          <t>9785386154899</t>
        </is>
      </c>
      <c r="T806" s="26" t="n">
        <v>10</v>
      </c>
      <c r="U806" s="11">
        <f>ROUNDUP(1627.27*(1-$F$3),2)</f>
        <v/>
      </c>
      <c r="V806" s="11" t="n">
        <v>707</v>
      </c>
      <c r="Y806" s="11" t="inlineStr">
        <is>
          <t>Голубая книга через сто лет</t>
        </is>
      </c>
      <c r="Z806" s="11" t="inlineStr">
        <is>
          <t>16+</t>
        </is>
      </c>
      <c r="AA806" s="15" t="n">
        <v>46268</v>
      </c>
      <c r="AB806" s="11" t="inlineStr">
        <is>
          <t>Художественная литература</t>
        </is>
      </c>
      <c r="AC806" s="11" t="inlineStr">
        <is>
          <t>Русская литература</t>
        </is>
      </c>
      <c r="AD806" s="11" t="inlineStr">
        <is>
          <t>Русская литература советского периода (1917-1991 гг.)</t>
        </is>
      </c>
      <c r="AE806" s="11" t="inlineStr">
        <is>
          <t>офсетная</t>
        </is>
      </c>
      <c r="AG806" s="11" t="n">
        <v>12256970</v>
      </c>
      <c r="AI806" s="11" t="inlineStr">
        <is>
          <t>4901990000</t>
        </is>
      </c>
    </row>
    <row r="807" customFormat="1" s="1">
      <c r="C807" s="1" t="inlineStr">
        <is>
          <t xml:space="preserve">12225240            </t>
        </is>
      </c>
      <c r="D807" s="1" t="inlineStr">
        <is>
          <t>Наследники</t>
        </is>
      </c>
      <c r="E807" s="1" t="inlineStr">
        <is>
          <t>О чем пел соловей перед восходом солнца?. Зощенко М.М.</t>
        </is>
      </c>
      <c r="F807" s="13" t="inlineStr">
        <is>
          <t>См.обл.</t>
        </is>
      </c>
      <c r="G807" s="1" t="inlineStr">
        <is>
          <t>Зощенко М.М.</t>
        </is>
      </c>
      <c r="H807" s="1" t="inlineStr">
        <is>
          <t>60х90/16</t>
        </is>
      </c>
      <c r="I807" s="1" t="n">
        <v>712</v>
      </c>
      <c r="J807" s="1" t="inlineStr">
        <is>
          <t>РИПОЛ Классик</t>
        </is>
      </c>
      <c r="M807" s="1" t="inlineStr">
        <is>
          <t>2026</t>
        </is>
      </c>
      <c r="N807" s="1" t="inlineStr">
        <is>
          <t>П</t>
        </is>
      </c>
      <c r="O807" s="9" t="n">
        <v>6</v>
      </c>
      <c r="P807" s="1">
        <f>ROUNDUP(1690*(1-$F$3),2)</f>
        <v/>
      </c>
      <c r="Q807" s="1" t="inlineStr">
        <is>
          <t> </t>
        </is>
      </c>
      <c r="R807" s="1" t="inlineStr">
        <is>
          <t>978-5-386-15490-5</t>
        </is>
      </c>
      <c r="S807" s="1" t="inlineStr">
        <is>
          <t>9785386154905</t>
        </is>
      </c>
      <c r="T807" s="9" t="n">
        <v>10</v>
      </c>
      <c r="U807" s="1">
        <f>ROUNDUP(1536.36*(1-$F$3),2)</f>
        <v/>
      </c>
      <c r="V807" s="1" t="n">
        <v>791</v>
      </c>
      <c r="Y807" s="1" t="inlineStr">
        <is>
          <t>О чем пел соловей перед восходом солнца?</t>
        </is>
      </c>
      <c r="Z807" s="1" t="inlineStr">
        <is>
          <t>16+</t>
        </is>
      </c>
      <c r="AA807" s="12" t="n">
        <v>46233</v>
      </c>
      <c r="AB807" s="1" t="inlineStr">
        <is>
          <t>Художественная литература</t>
        </is>
      </c>
      <c r="AC807" s="1" t="inlineStr">
        <is>
          <t>Русская литература</t>
        </is>
      </c>
      <c r="AD807" s="1" t="inlineStr">
        <is>
          <t>Русская литература советского периода (1917-1991 гг.)</t>
        </is>
      </c>
      <c r="AE807" s="1" t="inlineStr">
        <is>
          <t>офсетная</t>
        </is>
      </c>
      <c r="AG807" s="1" t="n">
        <v>12225240</v>
      </c>
      <c r="AI807" s="1" t="inlineStr">
        <is>
          <t>4901990000</t>
        </is>
      </c>
    </row>
    <row r="808" customFormat="1" s="1">
      <c r="C808" s="1" t="inlineStr">
        <is>
          <t xml:space="preserve">10748430            </t>
        </is>
      </c>
      <c r="D808" s="1" t="inlineStr">
        <is>
          <t>Настоящие преступники</t>
        </is>
      </c>
      <c r="E808" s="1" t="inlineStr">
        <is>
          <t>Helter Skelter: Правда о Чарли Мэнсоне. Буглиози В.</t>
        </is>
      </c>
      <c r="F808" s="13" t="inlineStr">
        <is>
          <t>См.обл.</t>
        </is>
      </c>
      <c r="G808" s="1" t="inlineStr">
        <is>
          <t>Буглиози В.</t>
        </is>
      </c>
      <c r="H808" s="1" t="inlineStr">
        <is>
          <t>84х108/32</t>
        </is>
      </c>
      <c r="I808" s="1" t="n">
        <v>640</v>
      </c>
      <c r="J808" s="1" t="inlineStr">
        <is>
          <t>РИПОЛ Классик</t>
        </is>
      </c>
      <c r="M808" s="1" t="inlineStr">
        <is>
          <t>2023</t>
        </is>
      </c>
      <c r="N808" s="1" t="inlineStr">
        <is>
          <t>П</t>
        </is>
      </c>
      <c r="O808" s="9" t="n">
        <v>6</v>
      </c>
      <c r="P808" s="1">
        <f>ROUNDUP(1550*(1-$F$3),2)</f>
        <v/>
      </c>
      <c r="Q808" s="1" t="inlineStr">
        <is>
          <t> </t>
        </is>
      </c>
      <c r="R808" s="1" t="inlineStr">
        <is>
          <t>978-5-386-14951-2</t>
        </is>
      </c>
      <c r="S808" s="1" t="inlineStr">
        <is>
          <t>9785386149512</t>
        </is>
      </c>
      <c r="T808" s="9" t="n">
        <v>22</v>
      </c>
      <c r="U808" s="1">
        <f>ROUNDUP(1270.49*(1-$F$3),2)</f>
        <v/>
      </c>
      <c r="V808" s="1" t="n">
        <v>631</v>
      </c>
      <c r="Y808" s="1" t="inlineStr">
        <is>
          <t>Helter Skelter: Правда о Чарли Мэнсоне</t>
        </is>
      </c>
      <c r="Z808" s="1" t="inlineStr">
        <is>
          <t>18+</t>
        </is>
      </c>
      <c r="AA808" s="12" t="n">
        <v>44941</v>
      </c>
      <c r="AB808" s="1" t="inlineStr">
        <is>
          <t>Художественно-документальная проза</t>
        </is>
      </c>
      <c r="AC808" s="1" t="inlineStr">
        <is>
          <t>Публицистика</t>
        </is>
      </c>
      <c r="AD808" s="1" t="inlineStr">
        <is>
          <t>Художественная публицистика. Хроники событий</t>
        </is>
      </c>
      <c r="AE808" s="1" t="inlineStr">
        <is>
          <t>офсетная</t>
        </is>
      </c>
      <c r="AG808" s="1" t="n">
        <v>10748430</v>
      </c>
      <c r="AI808" s="1" t="inlineStr">
        <is>
          <t>4901990000</t>
        </is>
      </c>
      <c r="AJ808" s="1" t="inlineStr">
        <is>
          <t>Зпв</t>
        </is>
      </c>
    </row>
    <row r="809" customFormat="1" s="1">
      <c r="C809" s="1" t="inlineStr">
        <is>
          <t xml:space="preserve">10170730            </t>
        </is>
      </c>
      <c r="D809" s="1" t="inlineStr">
        <is>
          <t>Настоящие преступники</t>
        </is>
      </c>
      <c r="E809" s="1" t="inlineStr">
        <is>
          <t>Заклейменная. История о том, как я сбежала из секс-культа. Эдмондсон С., Гасбарре К.</t>
        </is>
      </c>
      <c r="F809" s="13" t="inlineStr">
        <is>
          <t>См.обл.</t>
        </is>
      </c>
      <c r="G809" s="1" t="inlineStr">
        <is>
          <t>Эдмондсон С., Гасбарре К.</t>
        </is>
      </c>
      <c r="H809" s="1" t="inlineStr">
        <is>
          <t>84х108/32</t>
        </is>
      </c>
      <c r="I809" s="1" t="n">
        <v>368</v>
      </c>
      <c r="J809" s="1" t="inlineStr">
        <is>
          <t>РИПОЛ Классик</t>
        </is>
      </c>
      <c r="M809" s="1" t="inlineStr">
        <is>
          <t>2022</t>
        </is>
      </c>
      <c r="N809" s="1" t="inlineStr">
        <is>
          <t>П</t>
        </is>
      </c>
      <c r="O809" s="9" t="n">
        <v>8</v>
      </c>
      <c r="P809" s="1">
        <f>ROUNDUP(1100*(1-$F$3),2)</f>
        <v/>
      </c>
      <c r="Q809" s="1" t="inlineStr">
        <is>
          <t> </t>
        </is>
      </c>
      <c r="R809" s="1" t="inlineStr">
        <is>
          <t>978-5-386-14638-2</t>
        </is>
      </c>
      <c r="S809" s="1" t="inlineStr">
        <is>
          <t>9785386146382</t>
        </is>
      </c>
      <c r="T809" s="9" t="n">
        <v>22</v>
      </c>
      <c r="U809" s="1">
        <f>ROUNDUP(901.64*(1-$F$3),2)</f>
        <v/>
      </c>
      <c r="V809" s="1" t="n">
        <v>404</v>
      </c>
      <c r="Y809" s="1" t="inlineStr">
        <is>
          <t>Заклейменная. История о том, как я сбежала из секс-культа</t>
        </is>
      </c>
      <c r="Z809" s="1" t="inlineStr">
        <is>
          <t>18+</t>
        </is>
      </c>
      <c r="AA809" s="12" t="n">
        <v>44584</v>
      </c>
      <c r="AB809" s="1" t="inlineStr">
        <is>
          <t>Художественная литература</t>
        </is>
      </c>
      <c r="AC809" s="1" t="inlineStr">
        <is>
          <t>Зарубежная литература</t>
        </is>
      </c>
      <c r="AD809" s="1" t="inlineStr">
        <is>
          <t>Литература Америки и Австралии</t>
        </is>
      </c>
      <c r="AE809" s="1" t="inlineStr">
        <is>
          <t>офсетная</t>
        </is>
      </c>
      <c r="AG809" s="1" t="n">
        <v>10170730</v>
      </c>
      <c r="AI809" s="1" t="inlineStr">
        <is>
          <t>4901990000</t>
        </is>
      </c>
      <c r="AJ809" s="1" t="inlineStr">
        <is>
          <t>Зпв</t>
        </is>
      </c>
    </row>
    <row r="810" customFormat="1" s="1">
      <c r="C810" s="1" t="inlineStr">
        <is>
          <t xml:space="preserve">10739570            </t>
        </is>
      </c>
      <c r="D810" s="1" t="inlineStr">
        <is>
          <t>Настоящие преступники</t>
        </is>
      </c>
      <c r="E810" s="1" t="inlineStr">
        <is>
          <t>Пожиратели тьмы: Токийский кошмар. Пэрри Р.Л.</t>
        </is>
      </c>
      <c r="F810" s="13" t="inlineStr">
        <is>
          <t>См.обл.</t>
        </is>
      </c>
      <c r="G810" s="1" t="inlineStr">
        <is>
          <t>Пэрри Р.Л.</t>
        </is>
      </c>
      <c r="H810" s="1" t="inlineStr">
        <is>
          <t>84х108/32</t>
        </is>
      </c>
      <c r="I810" s="1" t="n">
        <v>560</v>
      </c>
      <c r="J810" s="1" t="inlineStr">
        <is>
          <t>РИПОЛ Классик</t>
        </is>
      </c>
      <c r="M810" s="1" t="inlineStr">
        <is>
          <t>2023</t>
        </is>
      </c>
      <c r="N810" s="1" t="inlineStr">
        <is>
          <t>П</t>
        </is>
      </c>
      <c r="O810" s="9" t="n">
        <v>8</v>
      </c>
      <c r="P810" s="1">
        <f>ROUNDUP(1340*(1-$F$3),2)</f>
        <v/>
      </c>
      <c r="Q810" s="1" t="inlineStr">
        <is>
          <t> </t>
        </is>
      </c>
      <c r="R810" s="1" t="inlineStr">
        <is>
          <t>978-5-386-14952-9</t>
        </is>
      </c>
      <c r="S810" s="1" t="inlineStr">
        <is>
          <t>9785386149529</t>
        </is>
      </c>
      <c r="T810" s="9" t="n">
        <v>22</v>
      </c>
      <c r="U810" s="1">
        <f>ROUNDUP(1098.36*(1-$F$3),2)</f>
        <v/>
      </c>
      <c r="V810" s="1" t="n">
        <v>561</v>
      </c>
      <c r="Y810" s="1" t="inlineStr">
        <is>
          <t>Пожиратели тьмы: Токийский кошмар</t>
        </is>
      </c>
      <c r="Z810" s="1" t="inlineStr">
        <is>
          <t>18+</t>
        </is>
      </c>
      <c r="AA810" s="12" t="n">
        <v>44936</v>
      </c>
      <c r="AB810" s="1" t="inlineStr">
        <is>
          <t>Художественная литература</t>
        </is>
      </c>
      <c r="AC810" s="1" t="inlineStr">
        <is>
          <t>Детективы. Боевики. Триллеры</t>
        </is>
      </c>
      <c r="AD810" s="1" t="inlineStr">
        <is>
          <t>Зарубежный детектив</t>
        </is>
      </c>
      <c r="AE810" s="1" t="inlineStr">
        <is>
          <t>офсетная</t>
        </is>
      </c>
      <c r="AG810" s="1" t="n">
        <v>10739570</v>
      </c>
      <c r="AI810" s="1" t="inlineStr">
        <is>
          <t>4901990000</t>
        </is>
      </c>
      <c r="AJ810" s="1" t="inlineStr">
        <is>
          <t>Зпв</t>
        </is>
      </c>
    </row>
    <row r="811" customFormat="1" s="1">
      <c r="C811" s="1" t="inlineStr">
        <is>
          <t xml:space="preserve">8859000             </t>
        </is>
      </c>
      <c r="D811" s="1" t="inlineStr">
        <is>
          <t>Настоящие преступники</t>
        </is>
      </c>
      <c r="E811" s="1" t="inlineStr">
        <is>
          <t>Серийные убийцы: Кровавые хроники российских маньяков. Модестов Н.С.</t>
        </is>
      </c>
      <c r="F811" s="13" t="inlineStr">
        <is>
          <t>См.обл.</t>
        </is>
      </c>
      <c r="G811" s="1" t="inlineStr">
        <is>
          <t>Модестов Н.С.</t>
        </is>
      </c>
      <c r="H811" s="1" t="inlineStr">
        <is>
          <t>84х108/32</t>
        </is>
      </c>
      <c r="I811" s="1" t="n">
        <v>320</v>
      </c>
      <c r="J811" s="1" t="inlineStr">
        <is>
          <t>РИПОЛ Классик</t>
        </is>
      </c>
      <c r="K811" s="1" t="inlineStr">
        <is>
          <t>Пальмира</t>
        </is>
      </c>
      <c r="M811" s="1" t="inlineStr">
        <is>
          <t>2026</t>
        </is>
      </c>
      <c r="N811" s="1" t="inlineStr">
        <is>
          <t>П</t>
        </is>
      </c>
      <c r="O811" s="9" t="n">
        <v>10</v>
      </c>
      <c r="P811" s="1">
        <f>ROUNDUP(1190*(1-$F$3),2)</f>
        <v/>
      </c>
      <c r="Q811" s="1" t="inlineStr">
        <is>
          <t> </t>
        </is>
      </c>
      <c r="R811" s="1" t="inlineStr">
        <is>
          <t>978-5-386-12352-9</t>
        </is>
      </c>
      <c r="S811" s="1" t="inlineStr">
        <is>
          <t>9785386123529</t>
        </is>
      </c>
      <c r="T811" s="9" t="n">
        <v>22</v>
      </c>
      <c r="U811" s="1">
        <f>ROUNDUP(975.41*(1-$F$3),2)</f>
        <v/>
      </c>
      <c r="V811" s="1" t="n">
        <v>426</v>
      </c>
      <c r="Y811" s="1" t="inlineStr">
        <is>
          <t>Серийные убийцы: Кровавые хроники российских маньяков</t>
        </is>
      </c>
      <c r="Z811" s="1" t="inlineStr">
        <is>
          <t>18+</t>
        </is>
      </c>
      <c r="AA811" s="12" t="n">
        <v>43434</v>
      </c>
      <c r="AB811" s="1" t="inlineStr">
        <is>
          <t>Право. Юридические науки</t>
        </is>
      </c>
      <c r="AC811" s="1" t="inlineStr">
        <is>
          <t>Криминология. Криминалистика</t>
        </is>
      </c>
      <c r="AD811" s="1" t="inlineStr">
        <is>
          <t>Криминология</t>
        </is>
      </c>
      <c r="AE811" s="1" t="inlineStr">
        <is>
          <t>офсетная</t>
        </is>
      </c>
      <c r="AG811" s="1" t="n">
        <v>8859000</v>
      </c>
      <c r="AI811" s="1" t="inlineStr">
        <is>
          <t>4901990000</t>
        </is>
      </c>
      <c r="AJ811" s="1" t="inlineStr">
        <is>
          <t>Зпв</t>
        </is>
      </c>
    </row>
    <row r="812" customFormat="1" s="1">
      <c r="C812" s="1" t="inlineStr">
        <is>
          <t xml:space="preserve">10455270            </t>
        </is>
      </c>
      <c r="D812" s="1" t="inlineStr">
        <is>
          <t>Настоящие преступники</t>
        </is>
      </c>
      <c r="E812" s="1" t="inlineStr">
        <is>
          <t>Серийные убийцы: Кровавые хроники российских маньяков. Модестов Н.С.</t>
        </is>
      </c>
      <c r="F812" s="13" t="inlineStr">
        <is>
          <t>См.обл.</t>
        </is>
      </c>
      <c r="G812" s="1" t="inlineStr">
        <is>
          <t>Модестов Н.С.</t>
        </is>
      </c>
      <c r="H812" s="1" t="inlineStr">
        <is>
          <t>84х108/32</t>
        </is>
      </c>
      <c r="I812" s="1" t="n">
        <v>320</v>
      </c>
      <c r="J812" s="1" t="inlineStr">
        <is>
          <t>РИПОЛ Классик</t>
        </is>
      </c>
      <c r="M812" s="1" t="inlineStr">
        <is>
          <t>2026</t>
        </is>
      </c>
      <c r="N812" s="1" t="inlineStr">
        <is>
          <t>П</t>
        </is>
      </c>
      <c r="O812" s="9" t="n">
        <v>10</v>
      </c>
      <c r="P812" s="1">
        <f>ROUNDUP(1190*(1-$F$3),2)</f>
        <v/>
      </c>
      <c r="Q812" s="1" t="inlineStr">
        <is>
          <t> </t>
        </is>
      </c>
      <c r="R812" s="1" t="inlineStr">
        <is>
          <t>978-5-386-14806-5</t>
        </is>
      </c>
      <c r="S812" s="1" t="inlineStr">
        <is>
          <t>9785386148065</t>
        </is>
      </c>
      <c r="T812" s="9" t="n">
        <v>22</v>
      </c>
      <c r="U812" s="1">
        <f>ROUNDUP(975.41*(1-$F$3),2)</f>
        <v/>
      </c>
      <c r="V812" s="1" t="n">
        <v>368</v>
      </c>
      <c r="Y812" s="1" t="inlineStr">
        <is>
          <t>Серийные убийцы: Кровавые хроники российских маньяков</t>
        </is>
      </c>
      <c r="Z812" s="1" t="inlineStr">
        <is>
          <t>18+</t>
        </is>
      </c>
      <c r="AA812" s="12" t="n">
        <v>44735</v>
      </c>
      <c r="AB812" s="1" t="inlineStr">
        <is>
          <t>Право. Юридические науки</t>
        </is>
      </c>
      <c r="AC812" s="1" t="inlineStr">
        <is>
          <t>Криминология. Криминалистика</t>
        </is>
      </c>
      <c r="AD812" s="1" t="inlineStr">
        <is>
          <t>Криминология</t>
        </is>
      </c>
      <c r="AE812" s="1" t="inlineStr">
        <is>
          <t>офсетная</t>
        </is>
      </c>
      <c r="AG812" s="1" t="n">
        <v>10455270</v>
      </c>
      <c r="AI812" s="1" t="inlineStr">
        <is>
          <t>4901990000</t>
        </is>
      </c>
      <c r="AJ812" s="1" t="inlineStr">
        <is>
          <t>Зпв</t>
        </is>
      </c>
    </row>
    <row r="813" customFormat="1" s="1">
      <c r="C813" s="1" t="inlineStr">
        <is>
          <t xml:space="preserve">11092900            </t>
        </is>
      </c>
      <c r="D813" s="1" t="inlineStr">
        <is>
          <t>Настоящие преступники</t>
        </is>
      </c>
      <c r="E813" s="1" t="inlineStr">
        <is>
          <t>Скверное место. Время московское. Тихомиров В</t>
        </is>
      </c>
      <c r="F813" s="13" t="inlineStr">
        <is>
          <t>См.обл.</t>
        </is>
      </c>
      <c r="G813" s="1" t="inlineStr">
        <is>
          <t>Тихомиров В</t>
        </is>
      </c>
      <c r="H813" s="1" t="inlineStr">
        <is>
          <t>84х108/32</t>
        </is>
      </c>
      <c r="I813" s="1" t="n">
        <v>480</v>
      </c>
      <c r="J813" s="1" t="inlineStr">
        <is>
          <t>РИПОЛ Классик</t>
        </is>
      </c>
      <c r="M813" s="1" t="inlineStr">
        <is>
          <t>2024</t>
        </is>
      </c>
      <c r="N813" s="1" t="inlineStr">
        <is>
          <t>П</t>
        </is>
      </c>
      <c r="O813" s="9" t="n">
        <v>6</v>
      </c>
      <c r="P813" s="1">
        <f>ROUNDUP(1020*(1-$F$3),2)</f>
        <v/>
      </c>
      <c r="Q813" s="1" t="inlineStr">
        <is>
          <t> </t>
        </is>
      </c>
      <c r="R813" s="1" t="inlineStr">
        <is>
          <t>978-5-386-15074-7</t>
        </is>
      </c>
      <c r="S813" s="1" t="inlineStr">
        <is>
          <t>9785386150747</t>
        </is>
      </c>
      <c r="T813" s="9" t="n">
        <v>10</v>
      </c>
      <c r="U813" s="1">
        <f>ROUNDUP(927.27*(1-$F$3),2)</f>
        <v/>
      </c>
      <c r="V813" s="1" t="n">
        <v>489</v>
      </c>
      <c r="Y813" s="1" t="inlineStr">
        <is>
          <t>Скверное место. Время московское</t>
        </is>
      </c>
      <c r="Z813" s="1" t="inlineStr">
        <is>
          <t>16+</t>
        </is>
      </c>
      <c r="AA813" s="12" t="n">
        <v>45222</v>
      </c>
      <c r="AB813" s="1" t="inlineStr">
        <is>
          <t>Художественная литература</t>
        </is>
      </c>
      <c r="AC813" s="1" t="inlineStr">
        <is>
          <t>Детективы. Боевики. Триллеры</t>
        </is>
      </c>
      <c r="AD813" s="1" t="inlineStr">
        <is>
          <t>Русский детектив</t>
        </is>
      </c>
      <c r="AE813" s="1" t="inlineStr">
        <is>
          <t>офсетная</t>
        </is>
      </c>
      <c r="AG813" s="1" t="n">
        <v>11092900</v>
      </c>
      <c r="AI813" s="1" t="inlineStr">
        <is>
          <t>4901990000</t>
        </is>
      </c>
    </row>
    <row r="814" customFormat="1" s="1">
      <c r="C814" s="1" t="inlineStr">
        <is>
          <t xml:space="preserve">10530540            </t>
        </is>
      </c>
      <c r="D814" s="1" t="inlineStr">
        <is>
          <t>Настоящие преступники</t>
        </is>
      </c>
      <c r="E814" s="1" t="inlineStr">
        <is>
          <t>Товарищ Чикатило. Ольгин О., Кривич М.</t>
        </is>
      </c>
      <c r="F814" s="13" t="inlineStr">
        <is>
          <t>См.обл.</t>
        </is>
      </c>
      <c r="G814" s="1" t="inlineStr">
        <is>
          <t>Ольгин О., Кривич М.</t>
        </is>
      </c>
      <c r="H814" s="1" t="inlineStr">
        <is>
          <t>84х108/32</t>
        </is>
      </c>
      <c r="I814" s="1" t="n">
        <v>432</v>
      </c>
      <c r="J814" s="1" t="inlineStr">
        <is>
          <t>РИПОЛ Классик</t>
        </is>
      </c>
      <c r="M814" s="1" t="inlineStr">
        <is>
          <t>2025</t>
        </is>
      </c>
      <c r="N814" s="1" t="inlineStr">
        <is>
          <t>П</t>
        </is>
      </c>
      <c r="O814" s="9" t="n">
        <v>8</v>
      </c>
      <c r="P814" s="1">
        <f>ROUNDUP(1140*(1-$F$3),2)</f>
        <v/>
      </c>
      <c r="Q814" s="1" t="inlineStr">
        <is>
          <t> </t>
        </is>
      </c>
      <c r="R814" s="1" t="inlineStr">
        <is>
          <t>978-5-386-14854-6</t>
        </is>
      </c>
      <c r="S814" s="1" t="inlineStr">
        <is>
          <t>9785386148546</t>
        </is>
      </c>
      <c r="T814" s="9" t="n">
        <v>22</v>
      </c>
      <c r="U814" s="1">
        <f>ROUNDUP(934.43*(1-$F$3),2)</f>
        <v/>
      </c>
      <c r="V814" s="1" t="n">
        <v>418</v>
      </c>
      <c r="Y814" s="1" t="inlineStr">
        <is>
          <t>Товарищ Чикатило</t>
        </is>
      </c>
      <c r="Z814" s="1" t="inlineStr">
        <is>
          <t>18+</t>
        </is>
      </c>
      <c r="AA814" s="12" t="n">
        <v>44819</v>
      </c>
      <c r="AB814" s="1" t="inlineStr">
        <is>
          <t>Право. Юридические науки</t>
        </is>
      </c>
      <c r="AC814" s="1" t="inlineStr">
        <is>
          <t>Криминология. Криминалистика</t>
        </is>
      </c>
      <c r="AD814" s="1" t="inlineStr">
        <is>
          <t>Криминология</t>
        </is>
      </c>
      <c r="AE814" s="1" t="inlineStr">
        <is>
          <t>офсетная</t>
        </is>
      </c>
      <c r="AG814" s="1" t="n">
        <v>10530540</v>
      </c>
      <c r="AI814" s="1" t="inlineStr">
        <is>
          <t>4901990000</t>
        </is>
      </c>
      <c r="AJ814" s="1" t="inlineStr">
        <is>
          <t>Зпв</t>
        </is>
      </c>
    </row>
    <row r="815" customFormat="1" s="1">
      <c r="C815" s="1" t="inlineStr">
        <is>
          <t xml:space="preserve">8740470             </t>
        </is>
      </c>
      <c r="D815" s="1" t="inlineStr">
        <is>
          <t>Настоящие преступники</t>
        </is>
      </c>
      <c r="E815" s="1" t="inlineStr">
        <is>
          <t>Ужас Амитивилля. Энсон Дж.</t>
        </is>
      </c>
      <c r="F815" s="13" t="inlineStr">
        <is>
          <t>См.обл.</t>
        </is>
      </c>
      <c r="G815" s="1" t="inlineStr">
        <is>
          <t>Энсон Дж.</t>
        </is>
      </c>
      <c r="H815" s="1" t="inlineStr">
        <is>
          <t>84х108/32</t>
        </is>
      </c>
      <c r="I815" s="1" t="n">
        <v>288</v>
      </c>
      <c r="J815" s="1" t="inlineStr">
        <is>
          <t>РИПОЛ Классик</t>
        </is>
      </c>
      <c r="K815" s="1" t="inlineStr">
        <is>
          <t>Пальмира</t>
        </is>
      </c>
      <c r="M815" s="1" t="inlineStr">
        <is>
          <t>2022</t>
        </is>
      </c>
      <c r="N815" s="1" t="inlineStr">
        <is>
          <t>П</t>
        </is>
      </c>
      <c r="O815" s="9" t="n">
        <v>12</v>
      </c>
      <c r="P815" s="1">
        <f>ROUNDUP(1010*(1-$F$3),2)</f>
        <v/>
      </c>
      <c r="Q815" s="1" t="inlineStr">
        <is>
          <t> </t>
        </is>
      </c>
      <c r="R815" s="1" t="inlineStr">
        <is>
          <t>978-5-386-10805-2</t>
        </is>
      </c>
      <c r="S815" s="1" t="inlineStr">
        <is>
          <t>9785386108052</t>
        </is>
      </c>
      <c r="T815" s="9" t="n">
        <v>10</v>
      </c>
      <c r="U815" s="1">
        <f>ROUNDUP(918.18*(1-$F$3),2)</f>
        <v/>
      </c>
      <c r="V815" s="1" t="n">
        <v>347</v>
      </c>
      <c r="Y815" s="1" t="inlineStr">
        <is>
          <t>Ужас Амитивилля</t>
        </is>
      </c>
      <c r="Z815" s="1" t="inlineStr">
        <is>
          <t>16+</t>
        </is>
      </c>
      <c r="AA815" s="12" t="n">
        <v>43348</v>
      </c>
      <c r="AB815" s="1" t="inlineStr">
        <is>
          <t>Художественная литература</t>
        </is>
      </c>
      <c r="AC815" s="1" t="inlineStr">
        <is>
          <t>Фантастика. Мистика. Ужасы</t>
        </is>
      </c>
      <c r="AD815" s="1" t="inlineStr">
        <is>
          <t>Мистика. Ужасы</t>
        </is>
      </c>
      <c r="AE815" s="1" t="inlineStr">
        <is>
          <t>офсетная</t>
        </is>
      </c>
      <c r="AG815" s="1" t="n">
        <v>8740470</v>
      </c>
      <c r="AI815" s="1" t="inlineStr">
        <is>
          <t>4901990000</t>
        </is>
      </c>
      <c r="AJ815" s="1" t="inlineStr">
        <is>
          <t>Зпв</t>
        </is>
      </c>
    </row>
    <row r="816" customFormat="1" s="1">
      <c r="C816" s="1" t="inlineStr">
        <is>
          <t xml:space="preserve">10777900            </t>
        </is>
      </c>
      <c r="D816" s="1" t="inlineStr">
        <is>
          <t>Настоящий детектив</t>
        </is>
      </c>
      <c r="E816" s="1" t="inlineStr">
        <is>
          <t>Хайд. Рассел К.</t>
        </is>
      </c>
      <c r="F816" s="13" t="inlineStr">
        <is>
          <t>См.обл.</t>
        </is>
      </c>
      <c r="G816" s="1" t="inlineStr">
        <is>
          <t>Рассел К.</t>
        </is>
      </c>
      <c r="H816" s="1" t="inlineStr">
        <is>
          <t>60х90/16</t>
        </is>
      </c>
      <c r="I816" s="1" t="n">
        <v>528</v>
      </c>
      <c r="J816" s="1" t="inlineStr">
        <is>
          <t>РИПОЛ Классик</t>
        </is>
      </c>
      <c r="M816" s="1" t="inlineStr">
        <is>
          <t>2023</t>
        </is>
      </c>
      <c r="N816" s="1" t="inlineStr">
        <is>
          <t>П</t>
        </is>
      </c>
      <c r="O816" s="9" t="n">
        <v>6</v>
      </c>
      <c r="P816" s="1">
        <f>ROUNDUP(1340*(1-$F$3),2)</f>
        <v/>
      </c>
      <c r="Q816" s="1" t="inlineStr">
        <is>
          <t> </t>
        </is>
      </c>
      <c r="R816" s="1" t="inlineStr">
        <is>
          <t>978-5-386-14943-7</t>
        </is>
      </c>
      <c r="S816" s="1" t="inlineStr">
        <is>
          <t>9785386149437</t>
        </is>
      </c>
      <c r="T816" s="9" t="n">
        <v>22</v>
      </c>
      <c r="U816" s="1">
        <f>ROUNDUP(1098.36*(1-$F$3),2)</f>
        <v/>
      </c>
      <c r="V816" s="1" t="n">
        <v>629</v>
      </c>
      <c r="Y816" s="1" t="inlineStr">
        <is>
          <t>Хайд</t>
        </is>
      </c>
      <c r="Z816" s="1" t="inlineStr">
        <is>
          <t>18+</t>
        </is>
      </c>
      <c r="AA816" s="12" t="n">
        <v>44962</v>
      </c>
      <c r="AB816" s="1" t="inlineStr">
        <is>
          <t>Художественная литература</t>
        </is>
      </c>
      <c r="AC816" s="1" t="inlineStr">
        <is>
          <t>Детективы. Боевики. Триллеры</t>
        </is>
      </c>
      <c r="AD816" s="1" t="inlineStr">
        <is>
          <t>Зарубежный детектив</t>
        </is>
      </c>
      <c r="AE816" s="1" t="inlineStr">
        <is>
          <t>офсетная</t>
        </is>
      </c>
      <c r="AG816" s="1" t="n">
        <v>10777900</v>
      </c>
      <c r="AI816" s="1" t="inlineStr">
        <is>
          <t>4901990000</t>
        </is>
      </c>
      <c r="AJ816" s="1" t="inlineStr">
        <is>
          <t>Зпв</t>
        </is>
      </c>
    </row>
    <row r="817" customFormat="1" s="1">
      <c r="C817" s="1" t="inlineStr">
        <is>
          <t xml:space="preserve">7228410             </t>
        </is>
      </c>
      <c r="D817" s="1" t="inlineStr">
        <is>
          <t>Небо повсюду</t>
        </is>
      </c>
      <c r="E817" s="1" t="inlineStr">
        <is>
          <t>Небо повсюду. Нельсон Дж.</t>
        </is>
      </c>
      <c r="F817" s="13" t="inlineStr">
        <is>
          <t>См.обл.</t>
        </is>
      </c>
      <c r="G817" s="1" t="inlineStr">
        <is>
          <t>Нельсон Дж.</t>
        </is>
      </c>
      <c r="H817" s="1" t="inlineStr">
        <is>
          <t>60х90/16</t>
        </is>
      </c>
      <c r="I817" s="1" t="n">
        <v>272</v>
      </c>
      <c r="J817" s="1" t="inlineStr">
        <is>
          <t>РИПОЛ Классик</t>
        </is>
      </c>
      <c r="M817" s="1" t="inlineStr">
        <is>
          <t>2019</t>
        </is>
      </c>
      <c r="N817" s="1" t="inlineStr">
        <is>
          <t>П</t>
        </is>
      </c>
      <c r="O817" s="9" t="n">
        <v>12</v>
      </c>
      <c r="P817" s="1">
        <f>ROUNDUP(980*(1-$F$3),2)</f>
        <v/>
      </c>
      <c r="Q817" s="1" t="inlineStr">
        <is>
          <t> </t>
        </is>
      </c>
      <c r="R817" s="1" t="inlineStr">
        <is>
          <t>978-5-386-08775-3</t>
        </is>
      </c>
      <c r="S817" s="1" t="inlineStr">
        <is>
          <t>9785386087753</t>
        </is>
      </c>
      <c r="T817" s="9" t="n">
        <v>10</v>
      </c>
      <c r="U817" s="1">
        <f>ROUNDUP(890.91*(1-$F$3),2)</f>
        <v/>
      </c>
      <c r="V817" s="1" t="n">
        <v>402</v>
      </c>
      <c r="Y817" s="1" t="inlineStr">
        <is>
          <t>Небо повсюду</t>
        </is>
      </c>
      <c r="Z817" s="1" t="inlineStr">
        <is>
          <t>16+</t>
        </is>
      </c>
      <c r="AA817" s="12" t="n">
        <v>42290</v>
      </c>
      <c r="AB817" s="1" t="inlineStr">
        <is>
          <t>Художественная литература</t>
        </is>
      </c>
      <c r="AC817" s="1" t="inlineStr">
        <is>
          <t>Зарубежная литература</t>
        </is>
      </c>
      <c r="AD817" s="1" t="inlineStr">
        <is>
          <t>Литература Америки и Австралии</t>
        </is>
      </c>
      <c r="AE817" s="1" t="inlineStr">
        <is>
          <t>офсетная</t>
        </is>
      </c>
      <c r="AG817" s="1" t="n">
        <v>7228410</v>
      </c>
      <c r="AI817" s="1" t="inlineStr">
        <is>
          <t>4901990000</t>
        </is>
      </c>
      <c r="AJ817" s="1" t="inlineStr">
        <is>
          <t>Зпв</t>
        </is>
      </c>
    </row>
    <row r="818" customFormat="1" s="11">
      <c r="A818" s="11" t="inlineStr">
        <is>
          <t>нов</t>
        </is>
      </c>
      <c r="C818" s="11" t="inlineStr">
        <is>
          <t xml:space="preserve">12264240            </t>
        </is>
      </c>
      <c r="D818" s="11" t="inlineStr">
        <is>
          <t>НеБукварь</t>
        </is>
      </c>
      <c r="E818" s="11" t="inlineStr">
        <is>
          <t>НеБукварь по физике. Костылева Е.С., Сережкин С.В</t>
        </is>
      </c>
      <c r="F818" s="14" t="inlineStr">
        <is>
          <t>См.обл.</t>
        </is>
      </c>
      <c r="G818" s="11" t="inlineStr">
        <is>
          <t>Костылева Е.С., Сережкин С.В</t>
        </is>
      </c>
      <c r="H818" s="11" t="inlineStr">
        <is>
          <t>84х108/16</t>
        </is>
      </c>
      <c r="I818" s="11" t="n">
        <v>286</v>
      </c>
      <c r="J818" s="11" t="inlineStr">
        <is>
          <t>РИПОЛ Классик</t>
        </is>
      </c>
      <c r="M818" s="11" t="inlineStr">
        <is>
          <t>2026</t>
        </is>
      </c>
      <c r="N818" s="11" t="inlineStr">
        <is>
          <t>О</t>
        </is>
      </c>
      <c r="O818" s="26" t="n">
        <v>8</v>
      </c>
      <c r="P818" s="11">
        <f>ROUNDUP(1100*(1-$F$3),2)</f>
        <v/>
      </c>
      <c r="Q818" s="11" t="inlineStr">
        <is>
          <t> </t>
        </is>
      </c>
      <c r="R818" s="11" t="inlineStr">
        <is>
          <t>978-5-386-15675-6</t>
        </is>
      </c>
      <c r="S818" s="11" t="inlineStr">
        <is>
          <t>9785386156756</t>
        </is>
      </c>
      <c r="T818" s="26" t="n">
        <v>10</v>
      </c>
      <c r="U818" s="11">
        <f>ROUNDUP(1000*(1-$F$3),2)</f>
        <v/>
      </c>
      <c r="V818" s="11" t="n">
        <v>622</v>
      </c>
      <c r="Y818" s="11" t="inlineStr">
        <is>
          <t>НеБукварь по физике</t>
        </is>
      </c>
      <c r="Z818" s="11" t="inlineStr">
        <is>
          <t>6 +</t>
        </is>
      </c>
      <c r="AA818" s="15" t="n">
        <v>46272</v>
      </c>
      <c r="AB818" s="11" t="inlineStr">
        <is>
          <t>Детская литература</t>
        </is>
      </c>
      <c r="AC818" s="11" t="inlineStr">
        <is>
          <t>Познавательная литература для детей</t>
        </is>
      </c>
      <c r="AD818" s="11" t="inlineStr">
        <is>
          <t>Физика. Химия. Математика. Биология</t>
        </is>
      </c>
      <c r="AE818" s="11" t="inlineStr">
        <is>
          <t>офсетная</t>
        </is>
      </c>
      <c r="AG818" s="11" t="n">
        <v>12264240</v>
      </c>
      <c r="AI818" s="11" t="inlineStr">
        <is>
          <t>4901990000</t>
        </is>
      </c>
    </row>
    <row r="819" customFormat="1" s="1">
      <c r="C819" s="1" t="inlineStr">
        <is>
          <t>319650</t>
        </is>
      </c>
      <c r="D819" s="1" t="inlineStr">
        <is>
          <t>Новая классика</t>
        </is>
      </c>
      <c r="E819" s="1" t="inlineStr">
        <is>
          <t>Подношение Гале. Нейман А.</t>
        </is>
      </c>
      <c r="F819" s="13" t="inlineStr">
        <is>
          <t>См.обл.</t>
        </is>
      </c>
      <c r="G819" s="1" t="inlineStr">
        <is>
          <t>Нейман А.</t>
        </is>
      </c>
      <c r="H819" s="1" t="inlineStr">
        <is>
          <t>60х90/16</t>
        </is>
      </c>
      <c r="I819" s="1" t="n">
        <v>120</v>
      </c>
      <c r="J819" s="1" t="inlineStr">
        <is>
          <t>РИПОЛ Классик</t>
        </is>
      </c>
      <c r="M819" s="1" t="inlineStr">
        <is>
          <t>2015</t>
        </is>
      </c>
      <c r="N819" s="1" t="inlineStr">
        <is>
          <t>П</t>
        </is>
      </c>
      <c r="O819" s="9" t="n">
        <v>20</v>
      </c>
      <c r="P819" s="1">
        <f>ROUNDUP(583.6*(1-$F$3),2)</f>
        <v/>
      </c>
      <c r="Q819" s="1" t="inlineStr">
        <is>
          <t> </t>
        </is>
      </c>
      <c r="R819" s="1" t="inlineStr">
        <is>
          <t>978-5-386-08368-7</t>
        </is>
      </c>
      <c r="S819" s="1" t="inlineStr">
        <is>
          <t>9785386083687</t>
        </is>
      </c>
      <c r="T819" s="9" t="n">
        <v>10</v>
      </c>
      <c r="U819" s="1">
        <f>ROUNDUP(530.55*(1-$F$3),2)</f>
        <v/>
      </c>
      <c r="V819" s="1" t="n">
        <v>261</v>
      </c>
      <c r="W819" s="1" t="inlineStr">
        <is>
          <t xml:space="preserve">620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819" s="1" t="inlineStr">
        <is>
          <t xml:space="preserve">Российская поэзия                                                                                                               </t>
        </is>
      </c>
      <c r="Y819" s="1" t="inlineStr">
        <is>
          <t>Подношение Гале</t>
        </is>
      </c>
      <c r="AA819" s="12" t="n">
        <v>42247</v>
      </c>
      <c r="AB819" s="1" t="inlineStr">
        <is>
          <t>Художественная литература</t>
        </is>
      </c>
      <c r="AC819" s="1" t="inlineStr">
        <is>
          <t>Русская литература</t>
        </is>
      </c>
      <c r="AD819" s="1" t="inlineStr">
        <is>
          <t>Современная литература</t>
        </is>
      </c>
      <c r="AE819" s="1" t="inlineStr">
        <is>
          <t> </t>
        </is>
      </c>
      <c r="AG819" s="1" t="n">
        <v>6854730</v>
      </c>
    </row>
    <row r="820" customFormat="1" s="1">
      <c r="C820" s="1" t="inlineStr">
        <is>
          <t xml:space="preserve">7543650             </t>
        </is>
      </c>
      <c r="D820" s="1" t="inlineStr">
        <is>
          <t>Новая классика / Novum classic</t>
        </is>
      </c>
      <c r="E820" s="1" t="inlineStr">
        <is>
          <t>Вечность мига. Роман двухсот авторов. Зорин И.</t>
        </is>
      </c>
      <c r="F820" s="13" t="inlineStr">
        <is>
          <t>См.обл.</t>
        </is>
      </c>
      <c r="G820" s="1" t="inlineStr">
        <is>
          <t>Зорин И.</t>
        </is>
      </c>
      <c r="H820" s="1" t="inlineStr">
        <is>
          <t>60х90/16</t>
        </is>
      </c>
      <c r="I820" s="1" t="n">
        <v>336</v>
      </c>
      <c r="J820" s="1" t="inlineStr">
        <is>
          <t>РИПОЛ Классик</t>
        </is>
      </c>
      <c r="M820" s="1" t="inlineStr">
        <is>
          <t>2016</t>
        </is>
      </c>
      <c r="N820" s="1" t="inlineStr">
        <is>
          <t>П</t>
        </is>
      </c>
      <c r="O820" s="9" t="n">
        <v>12</v>
      </c>
      <c r="P820" s="1">
        <f>ROUNDUP(1207.8*(1-$F$3),2)</f>
        <v/>
      </c>
      <c r="Q820" s="1" t="inlineStr">
        <is>
          <t> </t>
        </is>
      </c>
      <c r="R820" s="1" t="inlineStr">
        <is>
          <t>978-5-386-09361-7</t>
        </is>
      </c>
      <c r="S820" s="1" t="inlineStr">
        <is>
          <t>9785386093617</t>
        </is>
      </c>
      <c r="T820" s="9" t="n">
        <v>10</v>
      </c>
      <c r="U820" s="1">
        <f>ROUNDUP(1098*(1-$F$3),2)</f>
        <v/>
      </c>
      <c r="V820" s="1" t="n">
        <v>457</v>
      </c>
      <c r="Y820" s="1" t="inlineStr">
        <is>
          <t>Вечность мига. Роман двухсот авторов</t>
        </is>
      </c>
      <c r="Z820" s="1" t="inlineStr">
        <is>
          <t>16+</t>
        </is>
      </c>
      <c r="AA820" s="12" t="n">
        <v>42487</v>
      </c>
      <c r="AB820" s="1" t="inlineStr">
        <is>
          <t>Художественная литература</t>
        </is>
      </c>
      <c r="AC820" s="1" t="inlineStr">
        <is>
          <t>Русская литература</t>
        </is>
      </c>
      <c r="AD820" s="1" t="inlineStr">
        <is>
          <t>Современная литература</t>
        </is>
      </c>
      <c r="AE820" s="1" t="inlineStr">
        <is>
          <t> </t>
        </is>
      </c>
      <c r="AG820" s="1" t="n">
        <v>7543650</v>
      </c>
      <c r="AI820" s="1" t="inlineStr">
        <is>
          <t>4901990000</t>
        </is>
      </c>
    </row>
    <row r="821" customFormat="1" s="1">
      <c r="C821" s="1" t="inlineStr">
        <is>
          <t xml:space="preserve">8652010             </t>
        </is>
      </c>
      <c r="D821" s="1" t="inlineStr">
        <is>
          <t>Новая проза</t>
        </is>
      </c>
      <c r="E821" s="1" t="inlineStr">
        <is>
          <t>Гипотеза Дедала. Наумов Л.А.</t>
        </is>
      </c>
      <c r="F821" s="13" t="inlineStr">
        <is>
          <t>См.обл.</t>
        </is>
      </c>
      <c r="G821" s="1" t="inlineStr">
        <is>
          <t>Наумов Л.А.</t>
        </is>
      </c>
      <c r="H821" s="1" t="inlineStr">
        <is>
          <t>84х108/32</t>
        </is>
      </c>
      <c r="I821" s="1" t="n">
        <v>292</v>
      </c>
      <c r="J821" s="1" t="inlineStr">
        <is>
          <t>РИПОЛ Классик</t>
        </is>
      </c>
      <c r="M821" s="1" t="inlineStr">
        <is>
          <t>2018</t>
        </is>
      </c>
      <c r="N821" s="1" t="inlineStr">
        <is>
          <t>П</t>
        </is>
      </c>
      <c r="O821" s="9" t="n">
        <v>14</v>
      </c>
      <c r="P821" s="1">
        <f>ROUNDUP(956.8*(1-$F$3),2)</f>
        <v/>
      </c>
      <c r="Q821" s="1" t="inlineStr">
        <is>
          <t> </t>
        </is>
      </c>
      <c r="R821" s="1" t="inlineStr">
        <is>
          <t>978-5-386-10734-5</t>
        </is>
      </c>
      <c r="S821" s="1" t="inlineStr">
        <is>
          <t>9785386107345</t>
        </is>
      </c>
      <c r="T821" s="9" t="n">
        <v>10</v>
      </c>
      <c r="U821" s="1">
        <f>ROUNDUP(869.82*(1-$F$3),2)</f>
        <v/>
      </c>
      <c r="V821" s="1" t="n">
        <v>349</v>
      </c>
      <c r="Y821" s="1" t="inlineStr">
        <is>
          <t>Гипотеза Дедала</t>
        </is>
      </c>
      <c r="Z821" s="1" t="inlineStr">
        <is>
          <t>16+</t>
        </is>
      </c>
      <c r="AA821" s="12" t="n">
        <v>43237</v>
      </c>
      <c r="AB821" s="1" t="inlineStr">
        <is>
          <t>Художественная литература</t>
        </is>
      </c>
      <c r="AC821" s="1" t="inlineStr">
        <is>
          <t>Русская литература</t>
        </is>
      </c>
      <c r="AD821" s="1" t="inlineStr">
        <is>
          <t>Современная литература</t>
        </is>
      </c>
      <c r="AE821" s="1" t="inlineStr">
        <is>
          <t>офсетная</t>
        </is>
      </c>
      <c r="AG821" s="1" t="n">
        <v>8652010</v>
      </c>
      <c r="AI821" s="1" t="inlineStr">
        <is>
          <t>4901990000</t>
        </is>
      </c>
    </row>
    <row r="822" customFormat="1" s="1">
      <c r="C822" s="1" t="inlineStr">
        <is>
          <t xml:space="preserve">8483990             </t>
        </is>
      </c>
      <c r="D822" s="1" t="inlineStr">
        <is>
          <t>Новая проза</t>
        </is>
      </c>
      <c r="E822" s="1" t="inlineStr">
        <is>
          <t>Ключ от пианино: роман. Девос Е.</t>
        </is>
      </c>
      <c r="F822" s="13" t="inlineStr">
        <is>
          <t>См.обл.</t>
        </is>
      </c>
      <c r="G822" s="1" t="inlineStr">
        <is>
          <t>Девос Е.</t>
        </is>
      </c>
      <c r="H822" s="1" t="inlineStr">
        <is>
          <t>84х108/32</t>
        </is>
      </c>
      <c r="I822" s="1" t="n">
        <v>324</v>
      </c>
      <c r="J822" s="1" t="inlineStr">
        <is>
          <t>РИПОЛ Классик</t>
        </is>
      </c>
      <c r="M822" s="1" t="inlineStr">
        <is>
          <t>2018</t>
        </is>
      </c>
      <c r="N822" s="1" t="inlineStr">
        <is>
          <t>П</t>
        </is>
      </c>
      <c r="O822" s="9" t="n">
        <v>12</v>
      </c>
      <c r="P822" s="1">
        <f>ROUNDUP(814.8*(1-$F$3),2)</f>
        <v/>
      </c>
      <c r="Q822" s="1" t="inlineStr">
        <is>
          <t> </t>
        </is>
      </c>
      <c r="R822" s="1" t="inlineStr">
        <is>
          <t>978-5-386-10572-3</t>
        </is>
      </c>
      <c r="S822" s="1" t="inlineStr">
        <is>
          <t>9785386105723</t>
        </is>
      </c>
      <c r="T822" s="9" t="n">
        <v>10</v>
      </c>
      <c r="U822" s="1">
        <f>ROUNDUP(740.73*(1-$F$3),2)</f>
        <v/>
      </c>
      <c r="V822" s="1" t="n">
        <v>378</v>
      </c>
      <c r="Y822" s="1" t="inlineStr">
        <is>
          <t>Ключ от пианино: роман</t>
        </is>
      </c>
      <c r="Z822" s="1" t="inlineStr">
        <is>
          <t>16+</t>
        </is>
      </c>
      <c r="AA822" s="12" t="n">
        <v>43150</v>
      </c>
      <c r="AB822" s="1" t="inlineStr">
        <is>
          <t>Художественная литература</t>
        </is>
      </c>
      <c r="AC822" s="1" t="inlineStr">
        <is>
          <t>Русская литература</t>
        </is>
      </c>
      <c r="AD822" s="1" t="inlineStr">
        <is>
          <t>Современная литература</t>
        </is>
      </c>
      <c r="AE822" s="1" t="inlineStr">
        <is>
          <t>офсетная</t>
        </is>
      </c>
      <c r="AG822" s="1" t="n">
        <v>8483990</v>
      </c>
      <c r="AI822" s="1" t="inlineStr">
        <is>
          <t>4901990000</t>
        </is>
      </c>
    </row>
    <row r="823" customFormat="1" s="1">
      <c r="C823" s="1" t="inlineStr">
        <is>
          <t xml:space="preserve">8447160             </t>
        </is>
      </c>
      <c r="D823" s="1" t="inlineStr">
        <is>
          <t>Новая проза</t>
        </is>
      </c>
      <c r="E823" s="1" t="inlineStr">
        <is>
          <t>Не исчезай. Крейн Ж.</t>
        </is>
      </c>
      <c r="F823" s="13" t="inlineStr">
        <is>
          <t>См.обл.</t>
        </is>
      </c>
      <c r="G823" s="1" t="inlineStr">
        <is>
          <t>Крейн Ж.</t>
        </is>
      </c>
      <c r="H823" s="1" t="inlineStr">
        <is>
          <t>84х108/32</t>
        </is>
      </c>
      <c r="I823" s="1" t="n">
        <v>632</v>
      </c>
      <c r="J823" s="1" t="inlineStr">
        <is>
          <t>РИПОЛ Классик</t>
        </is>
      </c>
      <c r="M823" s="1" t="inlineStr">
        <is>
          <t>2019</t>
        </is>
      </c>
      <c r="N823" s="1" t="inlineStr">
        <is>
          <t>П</t>
        </is>
      </c>
      <c r="O823" s="9" t="n">
        <v>6</v>
      </c>
      <c r="P823" s="1">
        <f>ROUNDUP(1548*(1-$F$3),2)</f>
        <v/>
      </c>
      <c r="Q823" s="1" t="inlineStr">
        <is>
          <t> </t>
        </is>
      </c>
      <c r="R823" s="1" t="inlineStr">
        <is>
          <t>978-5-386-09653-3</t>
        </is>
      </c>
      <c r="S823" s="1" t="inlineStr">
        <is>
          <t>9785386096533</t>
        </is>
      </c>
      <c r="T823" s="9" t="n">
        <v>10</v>
      </c>
      <c r="U823" s="1">
        <f>ROUNDUP(1407.27*(1-$F$3),2)</f>
        <v/>
      </c>
      <c r="V823" s="1" t="n">
        <v>658</v>
      </c>
      <c r="Y823" s="1" t="inlineStr">
        <is>
          <t>Не исчезай</t>
        </is>
      </c>
      <c r="Z823" s="1" t="inlineStr">
        <is>
          <t>16+</t>
        </is>
      </c>
      <c r="AA823" s="12" t="n">
        <v>43125</v>
      </c>
      <c r="AB823" s="1" t="inlineStr">
        <is>
          <t>Художественная литература</t>
        </is>
      </c>
      <c r="AC823" s="1" t="inlineStr">
        <is>
          <t>Русская литература</t>
        </is>
      </c>
      <c r="AD823" s="1" t="inlineStr">
        <is>
          <t>Современная литература</t>
        </is>
      </c>
      <c r="AE823" s="1" t="inlineStr">
        <is>
          <t>офсетная</t>
        </is>
      </c>
      <c r="AG823" s="1" t="n">
        <v>8447160</v>
      </c>
      <c r="AI823" s="1" t="inlineStr">
        <is>
          <t>4901990000</t>
        </is>
      </c>
    </row>
    <row r="824" customFormat="1" s="1">
      <c r="C824" s="1" t="inlineStr">
        <is>
          <t xml:space="preserve">9709760             </t>
        </is>
      </c>
      <c r="D824" s="1" t="inlineStr">
        <is>
          <t>Новая реальность</t>
        </is>
      </c>
      <c r="E824" s="1" t="inlineStr">
        <is>
          <t>Безумие толпы. Как мир сошел с ума от толерантности и попыток угодить всем. Мюррей Д.</t>
        </is>
      </c>
      <c r="F824" s="13" t="inlineStr">
        <is>
          <t>См.обл.</t>
        </is>
      </c>
      <c r="G824" s="1" t="inlineStr">
        <is>
          <t>Мюррей Д.</t>
        </is>
      </c>
      <c r="H824" s="1" t="inlineStr">
        <is>
          <t>84х108/32</t>
        </is>
      </c>
      <c r="I824" s="1" t="n">
        <v>480</v>
      </c>
      <c r="J824" s="1" t="inlineStr">
        <is>
          <t>РИПОЛ Классик</t>
        </is>
      </c>
      <c r="M824" s="1" t="inlineStr">
        <is>
          <t>2025</t>
        </is>
      </c>
      <c r="N824" s="1" t="inlineStr">
        <is>
          <t>П</t>
        </is>
      </c>
      <c r="O824" s="9" t="n">
        <v>4</v>
      </c>
      <c r="P824" s="1">
        <f>ROUNDUP(1350*(1-$F$3),2)</f>
        <v/>
      </c>
      <c r="Q824" s="1" t="inlineStr">
        <is>
          <t> </t>
        </is>
      </c>
      <c r="R824" s="1" t="inlineStr">
        <is>
          <t>978-5-386-14286-5</t>
        </is>
      </c>
      <c r="S824" s="1" t="inlineStr">
        <is>
          <t>9785386142865</t>
        </is>
      </c>
      <c r="T824" s="9" t="n">
        <v>10</v>
      </c>
      <c r="U824" s="1">
        <f>ROUNDUP(1227.27*(1-$F$3),2)</f>
        <v/>
      </c>
      <c r="V824" s="1" t="n">
        <v>497</v>
      </c>
      <c r="Y824" s="1" t="inlineStr">
        <is>
          <t>Безумие толпы. Как мир сошел с ума от толерантности и попыток угодить всем</t>
        </is>
      </c>
      <c r="Z824" s="1" t="inlineStr">
        <is>
          <t>18+</t>
        </is>
      </c>
      <c r="AA824" s="12" t="n">
        <v>44367</v>
      </c>
      <c r="AB824" s="1" t="inlineStr">
        <is>
          <t>Общественные науки</t>
        </is>
      </c>
      <c r="AC824" s="1" t="inlineStr">
        <is>
          <t>Обществознание. Социология. Демография.</t>
        </is>
      </c>
      <c r="AD824" s="1" t="inlineStr">
        <is>
          <t>Общая социология</t>
        </is>
      </c>
      <c r="AE824" s="1" t="inlineStr">
        <is>
          <t>офсетная</t>
        </is>
      </c>
      <c r="AG824" s="1" t="n">
        <v>9709760</v>
      </c>
      <c r="AI824" s="1" t="inlineStr">
        <is>
          <t>4901990000</t>
        </is>
      </c>
    </row>
    <row r="825" customFormat="1" s="1">
      <c r="C825" s="1" t="inlineStr">
        <is>
          <t xml:space="preserve">9182030             </t>
        </is>
      </c>
      <c r="D825" s="1" t="inlineStr">
        <is>
          <t>Новая реальность</t>
        </is>
      </c>
      <c r="E825" s="1" t="inlineStr">
        <is>
          <t>Конвергентная культура. Столкновение старых и новых медиа. Дженкинс Г.</t>
        </is>
      </c>
      <c r="F825" s="13" t="inlineStr">
        <is>
          <t>См.обл.</t>
        </is>
      </c>
      <c r="G825" s="1" t="inlineStr">
        <is>
          <t>Дженкинс Г.</t>
        </is>
      </c>
      <c r="H825" s="1" t="inlineStr">
        <is>
          <t>60х90/16</t>
        </is>
      </c>
      <c r="I825" s="1" t="n">
        <v>384</v>
      </c>
      <c r="J825" s="1" t="inlineStr">
        <is>
          <t>РИПОЛ Классик</t>
        </is>
      </c>
      <c r="M825" s="1" t="inlineStr">
        <is>
          <t>2019</t>
        </is>
      </c>
      <c r="N825" s="1" t="inlineStr">
        <is>
          <t>П</t>
        </is>
      </c>
      <c r="O825" s="9" t="n">
        <v>12</v>
      </c>
      <c r="P825" s="1">
        <f>ROUNDUP(1170*(1-$F$3),2)</f>
        <v/>
      </c>
      <c r="Q825" s="1" t="inlineStr">
        <is>
          <t> </t>
        </is>
      </c>
      <c r="R825" s="1" t="inlineStr">
        <is>
          <t>978-5-386-13461-7</t>
        </is>
      </c>
      <c r="S825" s="1" t="inlineStr">
        <is>
          <t>9785386134617</t>
        </is>
      </c>
      <c r="T825" s="9" t="n">
        <v>10</v>
      </c>
      <c r="U825" s="1">
        <f>ROUNDUP(1063.64*(1-$F$3),2)</f>
        <v/>
      </c>
      <c r="V825" s="1" t="n">
        <v>459</v>
      </c>
      <c r="Y825" s="1" t="inlineStr">
        <is>
          <t>Конвергентная культура. Столкновение старых и новых медиа</t>
        </is>
      </c>
      <c r="Z825" s="1" t="inlineStr">
        <is>
          <t>16+</t>
        </is>
      </c>
      <c r="AA825" s="12" t="n">
        <v>43781</v>
      </c>
      <c r="AB825" s="1" t="inlineStr">
        <is>
          <t>Гуманитарные науки</t>
        </is>
      </c>
      <c r="AC825" s="1" t="inlineStr">
        <is>
          <t>Культура. Культурология</t>
        </is>
      </c>
      <c r="AD825" s="1" t="inlineStr">
        <is>
          <t>Прикладная культурология</t>
        </is>
      </c>
      <c r="AE825" s="1" t="inlineStr">
        <is>
          <t>офсетная</t>
        </is>
      </c>
      <c r="AG825" s="1" t="n">
        <v>9182030</v>
      </c>
      <c r="AI825" s="1" t="inlineStr">
        <is>
          <t>4901990000</t>
        </is>
      </c>
      <c r="AJ825" s="1" t="inlineStr">
        <is>
          <t>Зпв</t>
        </is>
      </c>
    </row>
    <row r="826" customFormat="1" s="1">
      <c r="C826" s="1" t="inlineStr">
        <is>
          <t xml:space="preserve">9552350             </t>
        </is>
      </c>
      <c r="D826" s="1" t="inlineStr">
        <is>
          <t>Новая экономика</t>
        </is>
      </c>
      <c r="E826" s="1" t="inlineStr">
        <is>
          <t>Тревога и контроль. Стратегии выживания в российском бизнесе. Шустерман Д.М., Трусов Г.Л.</t>
        </is>
      </c>
      <c r="F826" s="13" t="inlineStr">
        <is>
          <t>См.обл.</t>
        </is>
      </c>
      <c r="G826" s="1" t="inlineStr">
        <is>
          <t>Шустерман Д.М., Трусов Г.Л.</t>
        </is>
      </c>
      <c r="H826" s="1" t="inlineStr">
        <is>
          <t>60х90/16</t>
        </is>
      </c>
      <c r="I826" s="1" t="n">
        <v>244</v>
      </c>
      <c r="J826" s="1" t="inlineStr">
        <is>
          <t>РИПОЛ Классик</t>
        </is>
      </c>
      <c r="M826" s="1" t="inlineStr">
        <is>
          <t>2020</t>
        </is>
      </c>
      <c r="N826" s="1" t="inlineStr">
        <is>
          <t>П</t>
        </is>
      </c>
      <c r="O826" s="9" t="n">
        <v>12</v>
      </c>
      <c r="P826" s="1">
        <f>ROUNDUP(1300*(1-$F$3),2)</f>
        <v/>
      </c>
      <c r="Q826" s="1" t="inlineStr">
        <is>
          <t> </t>
        </is>
      </c>
      <c r="R826" s="1" t="inlineStr">
        <is>
          <t>978-5-386-13701-4</t>
        </is>
      </c>
      <c r="S826" s="1" t="inlineStr">
        <is>
          <t>9785386137014</t>
        </is>
      </c>
      <c r="T826" s="9" t="n">
        <v>10</v>
      </c>
      <c r="U826" s="1">
        <f>ROUNDUP(1181.82*(1-$F$3),2)</f>
        <v/>
      </c>
      <c r="V826" s="1" t="n">
        <v>357</v>
      </c>
      <c r="Y826" s="1" t="inlineStr">
        <is>
          <t>Тревога и контроль. Стратегии выживания в российском бизнесе</t>
        </is>
      </c>
      <c r="Z826" s="1" t="inlineStr">
        <is>
          <t>12+</t>
        </is>
      </c>
      <c r="AA826" s="12" t="n">
        <v>44132</v>
      </c>
      <c r="AB826" s="1" t="inlineStr">
        <is>
          <t>Экономика. Экономические науки</t>
        </is>
      </c>
      <c r="AC826" s="1" t="inlineStr">
        <is>
          <t>Бизнес.  Предпринимательство</t>
        </is>
      </c>
      <c r="AD826" s="1" t="inlineStr">
        <is>
          <t>Популярная литература по бизнесу</t>
        </is>
      </c>
      <c r="AE826" s="1" t="inlineStr">
        <is>
          <t> </t>
        </is>
      </c>
      <c r="AG826" s="1" t="n">
        <v>9552350</v>
      </c>
      <c r="AI826" s="1" t="inlineStr">
        <is>
          <t>4901990000</t>
        </is>
      </c>
    </row>
    <row r="827" customFormat="1" s="1">
      <c r="C827" s="1" t="inlineStr">
        <is>
          <t xml:space="preserve">10162170            </t>
        </is>
      </c>
      <c r="D827" s="1" t="inlineStr">
        <is>
          <t>Новое знание</t>
        </is>
      </c>
      <c r="E827" s="1" t="inlineStr">
        <is>
          <t>Большое волшебство. Творчество без страха. Гилберт Э.</t>
        </is>
      </c>
      <c r="F827" s="13" t="inlineStr">
        <is>
          <t>См.обл.</t>
        </is>
      </c>
      <c r="G827" s="1" t="inlineStr">
        <is>
          <t>Гилберт Э.</t>
        </is>
      </c>
      <c r="H827" s="1" t="inlineStr">
        <is>
          <t>84х108/32</t>
        </is>
      </c>
      <c r="I827" s="1" t="n">
        <v>320</v>
      </c>
      <c r="J827" s="1" t="inlineStr">
        <is>
          <t>РИПОЛ Классик</t>
        </is>
      </c>
      <c r="M827" s="1" t="inlineStr">
        <is>
          <t>2022</t>
        </is>
      </c>
      <c r="N827" s="1" t="inlineStr">
        <is>
          <t>О</t>
        </is>
      </c>
      <c r="O827" s="9" t="n">
        <v>8</v>
      </c>
      <c r="P827" s="1">
        <f>ROUNDUP(920*(1-$F$3),2)</f>
        <v/>
      </c>
      <c r="Q827" s="1" t="inlineStr">
        <is>
          <t> </t>
        </is>
      </c>
      <c r="R827" s="1" t="inlineStr">
        <is>
          <t>978-5-386-14627-6</t>
        </is>
      </c>
      <c r="S827" s="1" t="inlineStr">
        <is>
          <t>9785386146276</t>
        </is>
      </c>
      <c r="T827" s="9" t="n">
        <v>10</v>
      </c>
      <c r="U827" s="1">
        <f>ROUNDUP(836.36*(1-$F$3),2)</f>
        <v/>
      </c>
      <c r="V827" s="1" t="n">
        <v>251</v>
      </c>
      <c r="Y827" s="1" t="inlineStr">
        <is>
          <t>Большое волшебство. Творчество без страха</t>
        </is>
      </c>
      <c r="Z827" s="1" t="inlineStr">
        <is>
          <t>16+</t>
        </is>
      </c>
      <c r="AA827" s="12" t="n">
        <v>44613</v>
      </c>
      <c r="AB827" s="1" t="inlineStr">
        <is>
          <t>Гуманитарные науки</t>
        </is>
      </c>
      <c r="AC827" s="1" t="inlineStr">
        <is>
          <t>Психология</t>
        </is>
      </c>
      <c r="AD827" s="1" t="inlineStr">
        <is>
          <t>Популярная психология</t>
        </is>
      </c>
      <c r="AE827" s="1" t="inlineStr">
        <is>
          <t>офсетная</t>
        </is>
      </c>
      <c r="AG827" s="1" t="n">
        <v>10162170</v>
      </c>
      <c r="AI827" s="1" t="inlineStr">
        <is>
          <t>4901990000</t>
        </is>
      </c>
    </row>
    <row r="828" customFormat="1" s="1">
      <c r="C828" s="1" t="inlineStr">
        <is>
          <t xml:space="preserve">10473720            </t>
        </is>
      </c>
      <c r="D828" s="1" t="inlineStr">
        <is>
          <t>Новое знание</t>
        </is>
      </c>
      <c r="E828" s="1" t="inlineStr">
        <is>
          <t>Единство со всей жизнью. Вдохновляющие фрагменты из "Новой жизни". Толле Э.</t>
        </is>
      </c>
      <c r="F828" s="13" t="inlineStr">
        <is>
          <t>См.обл.</t>
        </is>
      </c>
      <c r="G828" s="1" t="inlineStr">
        <is>
          <t>Толле Э.</t>
        </is>
      </c>
      <c r="H828" s="1" t="inlineStr">
        <is>
          <t>84х108/32</t>
        </is>
      </c>
      <c r="I828" s="1" t="n">
        <v>176</v>
      </c>
      <c r="J828" s="1" t="inlineStr">
        <is>
          <t>РИПОЛ Классик</t>
        </is>
      </c>
      <c r="M828" s="1" t="inlineStr">
        <is>
          <t>2026</t>
        </is>
      </c>
      <c r="N828" s="1" t="inlineStr">
        <is>
          <t>О</t>
        </is>
      </c>
      <c r="O828" s="9" t="n">
        <v>12</v>
      </c>
      <c r="P828" s="1">
        <f>ROUNDUP(640*(1-$F$3),2)</f>
        <v/>
      </c>
      <c r="Q828" s="1" t="inlineStr">
        <is>
          <t> </t>
        </is>
      </c>
      <c r="R828" s="1" t="inlineStr">
        <is>
          <t>978-5-386-14803-4</t>
        </is>
      </c>
      <c r="S828" s="1" t="inlineStr">
        <is>
          <t>9785386148034</t>
        </is>
      </c>
      <c r="T828" s="9" t="n">
        <v>10</v>
      </c>
      <c r="U828" s="1">
        <f>ROUNDUP(581.82*(1-$F$3),2)</f>
        <v/>
      </c>
      <c r="V828" s="1" t="n">
        <v>192</v>
      </c>
      <c r="Y828" s="1" t="inlineStr">
        <is>
          <t>Единство со всей жизнью. Вдохновляющие фрагменты из "Новой жизни"</t>
        </is>
      </c>
      <c r="Z828" s="1" t="inlineStr">
        <is>
          <t>12+</t>
        </is>
      </c>
      <c r="AA828" s="12" t="n">
        <v>44785</v>
      </c>
      <c r="AB828" s="1" t="inlineStr">
        <is>
          <t>Религии. Эзотерика. Оккультизм</t>
        </is>
      </c>
      <c r="AC828" s="1" t="inlineStr">
        <is>
          <t>Эзотерика. Парапсихология. Тайны</t>
        </is>
      </c>
      <c r="AD828" s="1" t="inlineStr">
        <is>
          <t>Эзотерические учения. Теософия</t>
        </is>
      </c>
      <c r="AE828" s="1" t="inlineStr">
        <is>
          <t>офсетная</t>
        </is>
      </c>
      <c r="AG828" s="1" t="n">
        <v>10473720</v>
      </c>
      <c r="AI828" s="1" t="inlineStr">
        <is>
          <t>4901990000</t>
        </is>
      </c>
    </row>
    <row r="829" customFormat="1" s="1">
      <c r="C829" s="1" t="inlineStr">
        <is>
          <t xml:space="preserve">10233700            </t>
        </is>
      </c>
      <c r="D829" s="1" t="inlineStr">
        <is>
          <t>Новое знание</t>
        </is>
      </c>
      <c r="E829" s="1" t="inlineStr">
        <is>
          <t>Как любить ребенка. Корчак Я.</t>
        </is>
      </c>
      <c r="F829" s="13" t="inlineStr">
        <is>
          <t>См.обл.</t>
        </is>
      </c>
      <c r="G829" s="1" t="inlineStr">
        <is>
          <t>Корчак Я.</t>
        </is>
      </c>
      <c r="H829" s="1" t="inlineStr">
        <is>
          <t>84х108/32</t>
        </is>
      </c>
      <c r="I829" s="1" t="n">
        <v>392</v>
      </c>
      <c r="J829" s="1" t="inlineStr">
        <is>
          <t>РИПОЛ Классик</t>
        </is>
      </c>
      <c r="M829" s="1" t="inlineStr">
        <is>
          <t>2025</t>
        </is>
      </c>
      <c r="N829" s="1" t="inlineStr">
        <is>
          <t>О</t>
        </is>
      </c>
      <c r="O829" s="9" t="n">
        <v>5</v>
      </c>
      <c r="P829" s="1">
        <f>ROUNDUP(1030*(1-$F$3),2)</f>
        <v/>
      </c>
      <c r="Q829" s="1" t="inlineStr">
        <is>
          <t> </t>
        </is>
      </c>
      <c r="R829" s="1" t="inlineStr">
        <is>
          <t>978-5-386-14615-3</t>
        </is>
      </c>
      <c r="S829" s="1" t="inlineStr">
        <is>
          <t>9785386146153</t>
        </is>
      </c>
      <c r="T829" s="9" t="n">
        <v>10</v>
      </c>
      <c r="U829" s="1">
        <f>ROUNDUP(936.36*(1-$F$3),2)</f>
        <v/>
      </c>
      <c r="V829" s="1" t="n">
        <v>345</v>
      </c>
      <c r="Y829" s="1" t="inlineStr">
        <is>
          <t>Как любить ребенка</t>
        </is>
      </c>
      <c r="Z829" s="1" t="inlineStr">
        <is>
          <t>12+</t>
        </is>
      </c>
      <c r="AA829" s="12" t="n">
        <v>44613</v>
      </c>
      <c r="AB829" s="1" t="inlineStr">
        <is>
          <t>Общественные науки</t>
        </is>
      </c>
      <c r="AC829" s="1" t="inlineStr">
        <is>
          <t>Педагогика</t>
        </is>
      </c>
      <c r="AD829" s="1" t="inlineStr">
        <is>
          <t>Общие вопросы</t>
        </is>
      </c>
      <c r="AE829" s="1" t="inlineStr">
        <is>
          <t>офсетная</t>
        </is>
      </c>
      <c r="AG829" s="1" t="n">
        <v>10233700</v>
      </c>
      <c r="AI829" s="1" t="inlineStr">
        <is>
          <t>4901990000</t>
        </is>
      </c>
    </row>
    <row r="830" customFormat="1" s="1">
      <c r="C830" s="1" t="inlineStr">
        <is>
          <t xml:space="preserve">10726090            </t>
        </is>
      </c>
      <c r="D830" s="1" t="inlineStr">
        <is>
          <t>Новое знание</t>
        </is>
      </c>
      <c r="E830" s="1" t="inlineStr">
        <is>
          <t>Легкость бытия. Рэй М.</t>
        </is>
      </c>
      <c r="F830" s="13" t="inlineStr">
        <is>
          <t>См.обл.</t>
        </is>
      </c>
      <c r="G830" s="1" t="inlineStr">
        <is>
          <t>Рэй М.</t>
        </is>
      </c>
      <c r="H830" s="1" t="inlineStr">
        <is>
          <t>84х108/32</t>
        </is>
      </c>
      <c r="I830" s="1" t="n">
        <v>256</v>
      </c>
      <c r="J830" s="1" t="inlineStr">
        <is>
          <t>РИПОЛ Классик</t>
        </is>
      </c>
      <c r="M830" s="1" t="inlineStr">
        <is>
          <t>2026</t>
        </is>
      </c>
      <c r="N830" s="1" t="inlineStr">
        <is>
          <t>О</t>
        </is>
      </c>
      <c r="O830" s="9" t="n">
        <v>20</v>
      </c>
      <c r="P830" s="1">
        <f>ROUNDUP(857.3*(1-$F$3),2)</f>
        <v/>
      </c>
      <c r="Q830" s="1" t="inlineStr">
        <is>
          <t> </t>
        </is>
      </c>
      <c r="R830" s="1" t="inlineStr">
        <is>
          <t>978-5-386-14859-1</t>
        </is>
      </c>
      <c r="S830" s="1" t="inlineStr">
        <is>
          <t>9785386148591</t>
        </is>
      </c>
      <c r="T830" s="9" t="n">
        <v>10</v>
      </c>
      <c r="U830" s="1">
        <f>ROUNDUP(779.36*(1-$F$3),2)</f>
        <v/>
      </c>
      <c r="V830" s="1" t="n">
        <v>227</v>
      </c>
      <c r="Y830" s="1" t="inlineStr">
        <is>
          <t>Легкость бытия</t>
        </is>
      </c>
      <c r="Z830" s="1" t="inlineStr">
        <is>
          <t>12+</t>
        </is>
      </c>
      <c r="AA830" s="12" t="n">
        <v>44893</v>
      </c>
      <c r="AB830" s="1" t="inlineStr">
        <is>
          <t>Гуманитарные науки</t>
        </is>
      </c>
      <c r="AC830" s="1" t="inlineStr">
        <is>
          <t>Психология</t>
        </is>
      </c>
      <c r="AD830" s="1" t="inlineStr">
        <is>
          <t>Популярная психология</t>
        </is>
      </c>
      <c r="AE830" s="1" t="inlineStr">
        <is>
          <t>офсетная</t>
        </is>
      </c>
      <c r="AG830" s="1" t="n">
        <v>10726090</v>
      </c>
      <c r="AI830" s="1" t="inlineStr">
        <is>
          <t>4901990000</t>
        </is>
      </c>
    </row>
    <row r="831" customFormat="1" s="1">
      <c r="C831" s="1" t="inlineStr">
        <is>
          <t xml:space="preserve">10162150            </t>
        </is>
      </c>
      <c r="D831" s="1" t="inlineStr">
        <is>
          <t>Новое знание</t>
        </is>
      </c>
      <c r="E831" s="1" t="inlineStr">
        <is>
          <t>Эротика (обл.). Саломе Л.</t>
        </is>
      </c>
      <c r="F831" s="13" t="inlineStr">
        <is>
          <t>См.обл.</t>
        </is>
      </c>
      <c r="G831" s="1" t="inlineStr">
        <is>
          <t>Саломе Л.</t>
        </is>
      </c>
      <c r="H831" s="1" t="inlineStr">
        <is>
          <t>84х108/32</t>
        </is>
      </c>
      <c r="I831" s="1" t="n">
        <v>416</v>
      </c>
      <c r="J831" s="1" t="inlineStr">
        <is>
          <t>РИПОЛ Классик</t>
        </is>
      </c>
      <c r="M831" s="1" t="inlineStr">
        <is>
          <t>2026</t>
        </is>
      </c>
      <c r="N831" s="1" t="inlineStr">
        <is>
          <t>О</t>
        </is>
      </c>
      <c r="O831" s="9" t="n">
        <v>10</v>
      </c>
      <c r="P831" s="1">
        <f>ROUNDUP(950*(1-$F$3),2)</f>
        <v/>
      </c>
      <c r="Q831" s="1" t="inlineStr">
        <is>
          <t> </t>
        </is>
      </c>
      <c r="R831" s="1" t="inlineStr">
        <is>
          <t>978-5-386-14622-1</t>
        </is>
      </c>
      <c r="S831" s="1" t="inlineStr">
        <is>
          <t>9785386146221</t>
        </is>
      </c>
      <c r="T831" s="9" t="n">
        <v>10</v>
      </c>
      <c r="U831" s="1">
        <f>ROUNDUP(863.64*(1-$F$3),2)</f>
        <v/>
      </c>
      <c r="V831" s="1" t="n">
        <v>326</v>
      </c>
      <c r="Y831" s="1" t="inlineStr">
        <is>
          <t>Эротика (обл.)</t>
        </is>
      </c>
      <c r="Z831" s="1" t="inlineStr">
        <is>
          <t>16+</t>
        </is>
      </c>
      <c r="AA831" s="12" t="n">
        <v>44613</v>
      </c>
      <c r="AB831" s="1" t="inlineStr">
        <is>
          <t>Гуманитарные науки</t>
        </is>
      </c>
      <c r="AC831" s="1" t="inlineStr">
        <is>
          <t>Психология</t>
        </is>
      </c>
      <c r="AD831" s="1" t="inlineStr">
        <is>
          <t>Глубинная психология. Психоанализ</t>
        </is>
      </c>
      <c r="AE831" s="1" t="inlineStr">
        <is>
          <t>офсетная</t>
        </is>
      </c>
      <c r="AG831" s="1" t="n">
        <v>10162150</v>
      </c>
      <c r="AI831" s="1" t="inlineStr">
        <is>
          <t>4901990000</t>
        </is>
      </c>
    </row>
    <row r="832" customFormat="1" s="1">
      <c r="C832" s="1" t="inlineStr">
        <is>
          <t xml:space="preserve">8297310             </t>
        </is>
      </c>
      <c r="D832" s="1" t="inlineStr">
        <is>
          <t>Новые приключения Петрова и Васечкина</t>
        </is>
      </c>
      <c r="E832" s="1" t="inlineStr">
        <is>
          <t>Необыкновенные приключения Петрова и Васечкина в Колумбии. В поисках сокровищ. Алеников В.М.</t>
        </is>
      </c>
      <c r="F832" s="13" t="inlineStr">
        <is>
          <t>См.обл.</t>
        </is>
      </c>
      <c r="G832" s="1" t="inlineStr">
        <is>
          <t>Алеников В.М.</t>
        </is>
      </c>
      <c r="H832" s="1" t="inlineStr">
        <is>
          <t>60х84/16</t>
        </is>
      </c>
      <c r="I832" s="1" t="n">
        <v>256</v>
      </c>
      <c r="J832" s="1" t="inlineStr">
        <is>
          <t>РИПОЛ Классик</t>
        </is>
      </c>
      <c r="M832" s="1" t="inlineStr">
        <is>
          <t>2026</t>
        </is>
      </c>
      <c r="N832" s="1" t="inlineStr">
        <is>
          <t>П</t>
        </is>
      </c>
      <c r="O832" s="9" t="n">
        <v>10</v>
      </c>
      <c r="P832" s="1">
        <f>ROUNDUP(990*(1-$F$3),2)</f>
        <v/>
      </c>
      <c r="Q832" s="1" t="inlineStr">
        <is>
          <t> </t>
        </is>
      </c>
      <c r="R832" s="1" t="inlineStr">
        <is>
          <t>978-5-386-10291-3</t>
        </is>
      </c>
      <c r="S832" s="1" t="inlineStr">
        <is>
          <t>9785386102913</t>
        </is>
      </c>
      <c r="T832" s="9" t="n">
        <v>10</v>
      </c>
      <c r="U832" s="1">
        <f>ROUNDUP(900*(1-$F$3),2)</f>
        <v/>
      </c>
      <c r="V832" s="1" t="n">
        <v>339</v>
      </c>
      <c r="Y832" s="1" t="inlineStr">
        <is>
          <t>Необыкновенные приключения Петрова и Васечкина в Колумбии. В поисках сокровищ</t>
        </is>
      </c>
      <c r="Z832" s="1" t="inlineStr">
        <is>
          <t>6 +</t>
        </is>
      </c>
      <c r="AA832" s="12" t="n">
        <v>43023</v>
      </c>
      <c r="AB832" s="1" t="inlineStr">
        <is>
          <t>Детская литература</t>
        </is>
      </c>
      <c r="AC832" s="1" t="inlineStr">
        <is>
          <t>Художественная литература</t>
        </is>
      </c>
      <c r="AD832" s="1" t="inlineStr">
        <is>
          <t>Приключения</t>
        </is>
      </c>
      <c r="AE832" s="1" t="inlineStr">
        <is>
          <t>офсетная</t>
        </is>
      </c>
      <c r="AG832" s="1" t="n">
        <v>8297310</v>
      </c>
      <c r="AI832" s="1" t="inlineStr">
        <is>
          <t>4901990000</t>
        </is>
      </c>
    </row>
    <row r="833" customFormat="1" s="1">
      <c r="C833" s="1" t="inlineStr">
        <is>
          <t xml:space="preserve">8420360             </t>
        </is>
      </c>
      <c r="D833" s="1" t="inlineStr">
        <is>
          <t>Новые приключения Петрова и Васечкина</t>
        </is>
      </c>
      <c r="E833" s="1" t="inlineStr">
        <is>
          <t>Новейшие приключения Петрова и Васечкина в горах Кавказа. Алеников В.М.</t>
        </is>
      </c>
      <c r="F833" s="13" t="inlineStr">
        <is>
          <t>См.обл.</t>
        </is>
      </c>
      <c r="G833" s="1" t="inlineStr">
        <is>
          <t>Алеников В.М.</t>
        </is>
      </c>
      <c r="H833" s="1" t="inlineStr">
        <is>
          <t>60х90/16</t>
        </is>
      </c>
      <c r="I833" s="1" t="n">
        <v>208</v>
      </c>
      <c r="J833" s="1" t="inlineStr">
        <is>
          <t>РИПОЛ Классик</t>
        </is>
      </c>
      <c r="M833" s="1" t="inlineStr">
        <is>
          <t>2026</t>
        </is>
      </c>
      <c r="N833" s="1" t="inlineStr">
        <is>
          <t>П</t>
        </is>
      </c>
      <c r="O833" s="9" t="n">
        <v>10</v>
      </c>
      <c r="P833" s="1">
        <f>ROUNDUP(990*(1-$F$3),2)</f>
        <v/>
      </c>
      <c r="Q833" s="1" t="inlineStr">
        <is>
          <t> </t>
        </is>
      </c>
      <c r="R833" s="1" t="inlineStr">
        <is>
          <t>978-5-386-10315-6</t>
        </is>
      </c>
      <c r="S833" s="1" t="inlineStr">
        <is>
          <t>9785386103156</t>
        </is>
      </c>
      <c r="T833" s="9" t="n">
        <v>10</v>
      </c>
      <c r="U833" s="1">
        <f>ROUNDUP(900*(1-$F$3),2)</f>
        <v/>
      </c>
      <c r="V833" s="1" t="n">
        <v>326</v>
      </c>
      <c r="Y833" s="1" t="inlineStr">
        <is>
          <t>Новейшие приключения Петрова и Васечкина в горах Кавказа</t>
        </is>
      </c>
      <c r="Z833" s="1" t="inlineStr">
        <is>
          <t>12+</t>
        </is>
      </c>
      <c r="AA833" s="12" t="n">
        <v>43073</v>
      </c>
      <c r="AB833" s="1" t="inlineStr">
        <is>
          <t>Детская литература</t>
        </is>
      </c>
      <c r="AC833" s="1" t="inlineStr">
        <is>
          <t>Художественная литература</t>
        </is>
      </c>
      <c r="AD833" s="1" t="inlineStr">
        <is>
          <t>Приключения</t>
        </is>
      </c>
      <c r="AE833" s="1" t="inlineStr">
        <is>
          <t>офсетная</t>
        </is>
      </c>
      <c r="AG833" s="1" t="n">
        <v>8420360</v>
      </c>
      <c r="AI833" s="1" t="inlineStr">
        <is>
          <t>4901990000</t>
        </is>
      </c>
    </row>
    <row r="834" customFormat="1" s="1">
      <c r="C834" s="1" t="inlineStr">
        <is>
          <t>238755</t>
        </is>
      </c>
      <c r="D834" s="1" t="inlineStr">
        <is>
          <t>Новый год своими руками</t>
        </is>
      </c>
      <c r="E834" s="1" t="inlineStr">
        <is>
          <t>Фигурки. Хворостухина С.А.</t>
        </is>
      </c>
      <c r="F834" s="13" t="inlineStr">
        <is>
          <t>См.обл.</t>
        </is>
      </c>
      <c r="G834" s="1" t="inlineStr">
        <is>
          <t>Хворостухина С.А.</t>
        </is>
      </c>
      <c r="H834" s="1" t="inlineStr">
        <is>
          <t>70х100/16</t>
        </is>
      </c>
      <c r="I834" s="1" t="n">
        <v>16</v>
      </c>
      <c r="J834" s="1" t="inlineStr">
        <is>
          <t>РИПОЛ Классик</t>
        </is>
      </c>
      <c r="M834" s="1" t="inlineStr">
        <is>
          <t>2013</t>
        </is>
      </c>
      <c r="N834" s="1" t="inlineStr">
        <is>
          <t>О</t>
        </is>
      </c>
      <c r="O834" s="9" t="n">
        <v>50</v>
      </c>
      <c r="P834" s="1">
        <f>ROUNDUP(368.7*(1-$F$3),2)</f>
        <v/>
      </c>
      <c r="Q834" s="1" t="inlineStr">
        <is>
          <t> </t>
        </is>
      </c>
      <c r="R834" s="1" t="inlineStr">
        <is>
          <t>978-5-386-06809-7</t>
        </is>
      </c>
      <c r="S834" s="1" t="inlineStr">
        <is>
          <t>9785386068097</t>
        </is>
      </c>
      <c r="T834" s="9" t="n">
        <v>10</v>
      </c>
      <c r="U834" s="1">
        <f>ROUNDUP(335.18*(1-$F$3),2)</f>
        <v/>
      </c>
      <c r="V834" s="1" t="n">
        <v>91</v>
      </c>
      <c r="W834" s="1" t="inlineStr">
        <is>
          <t xml:space="preserve">510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834" s="1" t="inlineStr">
        <is>
          <t xml:space="preserve">Рукоделие                                                                                                                       </t>
        </is>
      </c>
      <c r="Y834" s="1" t="inlineStr">
        <is>
          <t>Фигурки</t>
        </is>
      </c>
      <c r="AA834" s="12" t="n">
        <v>41572</v>
      </c>
      <c r="AB834" s="1" t="inlineStr">
        <is>
          <t>Дом. Быт. Досуг</t>
        </is>
      </c>
      <c r="AC834" s="1" t="inlineStr">
        <is>
          <t>Домоводство. Рукоделие</t>
        </is>
      </c>
      <c r="AD834" s="1" t="inlineStr">
        <is>
          <t>Рукоделие. Ремесла</t>
        </is>
      </c>
      <c r="AE834" s="1" t="inlineStr">
        <is>
          <t> </t>
        </is>
      </c>
      <c r="AG834" s="1" t="n">
        <v>5821600</v>
      </c>
      <c r="AI834" s="1" t="inlineStr">
        <is>
          <t>4901990000</t>
        </is>
      </c>
    </row>
    <row r="835" customFormat="1" s="1">
      <c r="C835" s="1" t="inlineStr">
        <is>
          <t xml:space="preserve">11926760            </t>
        </is>
      </c>
      <c r="D835" s="1" t="inlineStr">
        <is>
          <t>Новый образ жизни</t>
        </is>
      </c>
      <c r="E835" s="1" t="inlineStr">
        <is>
          <t>"Программы смерти" и психоиммунология в онкологии. Ларин А.В.</t>
        </is>
      </c>
      <c r="F835" s="13" t="inlineStr">
        <is>
          <t>См.обл.</t>
        </is>
      </c>
      <c r="G835" s="1" t="inlineStr">
        <is>
          <t>Ларин А.В.</t>
        </is>
      </c>
      <c r="H835" s="1" t="inlineStr">
        <is>
          <t>60х90/16</t>
        </is>
      </c>
      <c r="I835" s="1" t="n">
        <v>328</v>
      </c>
      <c r="J835" s="1" t="inlineStr">
        <is>
          <t>РИПОЛ Классик</t>
        </is>
      </c>
      <c r="M835" s="1" t="inlineStr">
        <is>
          <t>2026</t>
        </is>
      </c>
      <c r="N835" s="1" t="inlineStr">
        <is>
          <t>П</t>
        </is>
      </c>
      <c r="O835" s="9" t="n">
        <v>10</v>
      </c>
      <c r="P835" s="1">
        <f>ROUNDUP(1010*(1-$F$3),2)</f>
        <v/>
      </c>
      <c r="Q835" s="1" t="inlineStr">
        <is>
          <t> </t>
        </is>
      </c>
      <c r="R835" s="1" t="inlineStr">
        <is>
          <t>978-5-386-15517-9</t>
        </is>
      </c>
      <c r="S835" s="1" t="inlineStr">
        <is>
          <t>9785386155179</t>
        </is>
      </c>
      <c r="T835" s="9" t="n">
        <v>10</v>
      </c>
      <c r="U835" s="1">
        <f>ROUNDUP(918.18*(1-$F$3),2)</f>
        <v/>
      </c>
      <c r="V835" s="1" t="n">
        <v>426</v>
      </c>
      <c r="Y835" s="1" t="inlineStr">
        <is>
          <t>"Программы смерти" и психоиммунология в онкологии</t>
        </is>
      </c>
      <c r="Z835" s="1" t="inlineStr">
        <is>
          <t>16+</t>
        </is>
      </c>
      <c r="AA835" s="12" t="n">
        <v>45959</v>
      </c>
      <c r="AB835" s="1" t="inlineStr">
        <is>
          <t>Медицина</t>
        </is>
      </c>
      <c r="AC835" s="1" t="inlineStr">
        <is>
          <t>Клиническая медицина. Внутренние болезни</t>
        </is>
      </c>
      <c r="AD835" s="1" t="inlineStr">
        <is>
          <t>Онкология</t>
        </is>
      </c>
      <c r="AE835" s="1" t="inlineStr">
        <is>
          <t>офсетная</t>
        </is>
      </c>
      <c r="AG835" s="1" t="n">
        <v>11926760</v>
      </c>
      <c r="AI835" s="1" t="inlineStr">
        <is>
          <t>4901990000</t>
        </is>
      </c>
      <c r="AJ835" s="1" t="inlineStr">
        <is>
          <t>Зпв</t>
        </is>
      </c>
    </row>
    <row r="836" customFormat="1" s="1">
      <c r="C836" s="1" t="inlineStr">
        <is>
          <t xml:space="preserve">10664900            </t>
        </is>
      </c>
      <c r="D836" s="1" t="inlineStr">
        <is>
          <t>Новый образ жизни</t>
        </is>
      </c>
      <c r="E836" s="1" t="inlineStr">
        <is>
          <t>Антирак. Новый образ жизни. Серван-Шрейбер Д.</t>
        </is>
      </c>
      <c r="F836" s="13" t="inlineStr">
        <is>
          <t>См.обл.</t>
        </is>
      </c>
      <c r="G836" s="1" t="inlineStr">
        <is>
          <t>Серван-Шрейбер Д.</t>
        </is>
      </c>
      <c r="H836" s="1" t="inlineStr">
        <is>
          <t>60х90/16</t>
        </is>
      </c>
      <c r="I836" s="1" t="n">
        <v>528</v>
      </c>
      <c r="J836" s="1" t="inlineStr">
        <is>
          <t>РИПОЛ Классик</t>
        </is>
      </c>
      <c r="M836" s="1" t="inlineStr">
        <is>
          <t>2025</t>
        </is>
      </c>
      <c r="N836" s="1" t="inlineStr">
        <is>
          <t>П</t>
        </is>
      </c>
      <c r="O836" s="9" t="n">
        <v>6</v>
      </c>
      <c r="P836" s="1">
        <f>ROUNDUP(1420*(1-$F$3),2)</f>
        <v/>
      </c>
      <c r="Q836" s="1" t="inlineStr">
        <is>
          <t> </t>
        </is>
      </c>
      <c r="R836" s="1" t="inlineStr">
        <is>
          <t>978-5-386-14919-2</t>
        </is>
      </c>
      <c r="S836" s="1" t="inlineStr">
        <is>
          <t>9785386149192</t>
        </is>
      </c>
      <c r="T836" s="9" t="n">
        <v>10</v>
      </c>
      <c r="U836" s="1">
        <f>ROUNDUP(1290.91*(1-$F$3),2)</f>
        <v/>
      </c>
      <c r="V836" s="1" t="n">
        <v>565</v>
      </c>
      <c r="Y836" s="1" t="inlineStr">
        <is>
          <t>Антирак. Новый образ жизни</t>
        </is>
      </c>
      <c r="Z836" s="1" t="inlineStr">
        <is>
          <t>16+</t>
        </is>
      </c>
      <c r="AA836" s="12" t="n">
        <v>44858</v>
      </c>
      <c r="AB836" s="1" t="inlineStr">
        <is>
          <t>Медицина</t>
        </is>
      </c>
      <c r="AC836" s="1" t="inlineStr">
        <is>
          <t>Клиническая медицина. Внутренние болезни</t>
        </is>
      </c>
      <c r="AD836" s="1" t="inlineStr">
        <is>
          <t>Онкология</t>
        </is>
      </c>
      <c r="AE836" s="1" t="inlineStr">
        <is>
          <t>офсетная</t>
        </is>
      </c>
      <c r="AG836" s="1" t="n">
        <v>10664900</v>
      </c>
      <c r="AI836" s="1" t="inlineStr">
        <is>
          <t>4901990000</t>
        </is>
      </c>
      <c r="AJ836" s="1" t="inlineStr">
        <is>
          <t>Зпв</t>
        </is>
      </c>
    </row>
    <row r="837" customFormat="1" s="1">
      <c r="C837" s="1" t="inlineStr">
        <is>
          <t xml:space="preserve">11791350            </t>
        </is>
      </c>
      <c r="D837" s="1" t="inlineStr">
        <is>
          <t>Новый образ жизни</t>
        </is>
      </c>
      <c r="E837" s="1" t="inlineStr">
        <is>
          <t>Антистрах. От тревоги к действию: твои инструменты для новой реальности. Пронина А., Шуров В.</t>
        </is>
      </c>
      <c r="F837" s="13" t="inlineStr">
        <is>
          <t>См.обл.</t>
        </is>
      </c>
      <c r="G837" s="1" t="inlineStr">
        <is>
          <t>Пронина А., Шуров В.</t>
        </is>
      </c>
      <c r="H837" s="1" t="inlineStr">
        <is>
          <t>60х90/16</t>
        </is>
      </c>
      <c r="I837" s="1" t="n">
        <v>400</v>
      </c>
      <c r="J837" s="1" t="inlineStr">
        <is>
          <t>РИПОЛ Классик</t>
        </is>
      </c>
      <c r="M837" s="1" t="inlineStr">
        <is>
          <t>2025</t>
        </is>
      </c>
      <c r="N837" s="1" t="inlineStr">
        <is>
          <t>П</t>
        </is>
      </c>
      <c r="O837" s="9" t="n">
        <v>6</v>
      </c>
      <c r="P837" s="1">
        <f>ROUNDUP(940*(1-$F$3),2)</f>
        <v/>
      </c>
      <c r="Q837" s="1" t="inlineStr">
        <is>
          <t> </t>
        </is>
      </c>
      <c r="R837" s="1" t="inlineStr">
        <is>
          <t>978-5-386-15423-3</t>
        </is>
      </c>
      <c r="S837" s="1" t="inlineStr">
        <is>
          <t>9785386154233</t>
        </is>
      </c>
      <c r="T837" s="9" t="n">
        <v>10</v>
      </c>
      <c r="U837" s="1">
        <f>ROUNDUP(854.55*(1-$F$3),2)</f>
        <v/>
      </c>
      <c r="V837" s="1" t="n">
        <v>437</v>
      </c>
      <c r="Y837" s="1" t="inlineStr">
        <is>
          <t>Антистрах. От тревоги к действию: твои инструменты для новой реальности</t>
        </is>
      </c>
      <c r="Z837" s="1" t="inlineStr">
        <is>
          <t>16+</t>
        </is>
      </c>
      <c r="AA837" s="12" t="n">
        <v>45853</v>
      </c>
      <c r="AB837" s="1" t="inlineStr">
        <is>
          <t>Гуманитарные науки</t>
        </is>
      </c>
      <c r="AC837" s="1" t="inlineStr">
        <is>
          <t>Психология</t>
        </is>
      </c>
      <c r="AD837" s="1" t="inlineStr">
        <is>
          <t>Популярная психология</t>
        </is>
      </c>
      <c r="AE837" s="1" t="inlineStr">
        <is>
          <t>офсетная</t>
        </is>
      </c>
      <c r="AG837" s="1" t="n">
        <v>11791350</v>
      </c>
      <c r="AI837" s="1" t="inlineStr">
        <is>
          <t>4901990000</t>
        </is>
      </c>
    </row>
    <row r="838" customFormat="1" s="1">
      <c r="C838" s="1" t="inlineStr">
        <is>
          <t xml:space="preserve">11903490            </t>
        </is>
      </c>
      <c r="D838" s="1" t="inlineStr">
        <is>
          <t>Новый образ жизни</t>
        </is>
      </c>
      <c r="E838" s="1" t="inlineStr">
        <is>
          <t>Гипноз. Путь бессознательного. Полетаева Н.Н.</t>
        </is>
      </c>
      <c r="F838" s="13" t="inlineStr">
        <is>
          <t>См.обл.</t>
        </is>
      </c>
      <c r="G838" s="1" t="inlineStr">
        <is>
          <t>Полетаева Н.Н.</t>
        </is>
      </c>
      <c r="H838" s="1" t="inlineStr">
        <is>
          <t>60х90/16</t>
        </is>
      </c>
      <c r="I838" s="1" t="n">
        <v>176</v>
      </c>
      <c r="J838" s="1" t="inlineStr">
        <is>
          <t>РИПОЛ Классик</t>
        </is>
      </c>
      <c r="M838" s="1" t="inlineStr">
        <is>
          <t>2026</t>
        </is>
      </c>
      <c r="N838" s="1" t="inlineStr">
        <is>
          <t>П</t>
        </is>
      </c>
      <c r="O838" s="9" t="n">
        <v>20</v>
      </c>
      <c r="P838" s="1">
        <f>ROUNDUP(890*(1-$F$3),2)</f>
        <v/>
      </c>
      <c r="Q838" s="1" t="inlineStr">
        <is>
          <t> </t>
        </is>
      </c>
      <c r="R838" s="1" t="inlineStr">
        <is>
          <t>978-5-386-15522-3</t>
        </is>
      </c>
      <c r="S838" s="1" t="inlineStr">
        <is>
          <t>9785386155223</t>
        </is>
      </c>
      <c r="T838" s="9" t="n">
        <v>10</v>
      </c>
      <c r="U838" s="1">
        <f>ROUNDUP(809.09*(1-$F$3),2)</f>
        <v/>
      </c>
      <c r="V838" s="1" t="n">
        <v>306</v>
      </c>
      <c r="Y838" s="1" t="inlineStr">
        <is>
          <t>Гипноз. Путь бессознательного</t>
        </is>
      </c>
      <c r="Z838" s="1" t="inlineStr">
        <is>
          <t>16+</t>
        </is>
      </c>
      <c r="AA838" s="12" t="n">
        <v>45938</v>
      </c>
      <c r="AB838" s="1" t="inlineStr">
        <is>
          <t>Гуманитарные науки</t>
        </is>
      </c>
      <c r="AC838" s="1" t="inlineStr">
        <is>
          <t>Психология</t>
        </is>
      </c>
      <c r="AD838" s="1" t="inlineStr">
        <is>
          <t>Глубинная психология. Психоанализ</t>
        </is>
      </c>
      <c r="AE838" s="1" t="inlineStr">
        <is>
          <t>офсетная</t>
        </is>
      </c>
      <c r="AG838" s="1" t="n">
        <v>11903490</v>
      </c>
      <c r="AI838" s="1" t="inlineStr">
        <is>
          <t>4901990000</t>
        </is>
      </c>
    </row>
    <row r="839" customFormat="1" s="1">
      <c r="C839" s="1" t="inlineStr">
        <is>
          <t xml:space="preserve">10038000            </t>
        </is>
      </c>
      <c r="D839" s="1" t="inlineStr">
        <is>
          <t>Новый образ жизни</t>
        </is>
      </c>
      <c r="E839" s="1" t="inlineStr">
        <is>
          <t>ГУРУКНИГА. Випассана своими руками. Семидневный ретрит. Пошаговая инструкция. Раманова А.А.</t>
        </is>
      </c>
      <c r="F839" s="13" t="inlineStr">
        <is>
          <t>См.обл.</t>
        </is>
      </c>
      <c r="G839" s="1" t="inlineStr">
        <is>
          <t>Раманова А.А.</t>
        </is>
      </c>
      <c r="H839" s="1" t="inlineStr">
        <is>
          <t>70х90/16</t>
        </is>
      </c>
      <c r="I839" s="1" t="n">
        <v>592</v>
      </c>
      <c r="J839" s="1" t="inlineStr">
        <is>
          <t>РИПОЛ Классик</t>
        </is>
      </c>
      <c r="M839" s="1" t="inlineStr">
        <is>
          <t>2022</t>
        </is>
      </c>
      <c r="N839" s="1" t="inlineStr">
        <is>
          <t>П</t>
        </is>
      </c>
      <c r="O839" s="9" t="n">
        <v>3</v>
      </c>
      <c r="P839" s="1">
        <f>ROUNDUP(2840*(1-$F$3),2)</f>
        <v/>
      </c>
      <c r="Q839" s="1" t="inlineStr">
        <is>
          <t> </t>
        </is>
      </c>
      <c r="R839" s="1" t="inlineStr">
        <is>
          <t>978-5-386-14602-3</t>
        </is>
      </c>
      <c r="S839" s="1" t="inlineStr">
        <is>
          <t>9785386146023</t>
        </is>
      </c>
      <c r="T839" s="9" t="n">
        <v>10</v>
      </c>
      <c r="U839" s="1">
        <f>ROUNDUP(2581.82*(1-$F$3),2)</f>
        <v/>
      </c>
      <c r="V839" s="1" t="n">
        <v>1238</v>
      </c>
      <c r="Y839" s="1" t="inlineStr">
        <is>
          <t>ГУРУКНИГА. Випассана своими руками. Семидневный ретрит. Пошаговая инструкция</t>
        </is>
      </c>
      <c r="Z839" s="1" t="inlineStr">
        <is>
          <t>16+</t>
        </is>
      </c>
      <c r="AA839" s="12" t="n">
        <v>44587</v>
      </c>
      <c r="AB839" s="1" t="inlineStr">
        <is>
          <t>Религии. Эзотерика. Оккультизм</t>
        </is>
      </c>
      <c r="AC839" s="1" t="inlineStr">
        <is>
          <t>Эзотерика. Парапсихология. Тайны</t>
        </is>
      </c>
      <c r="AD839" s="1" t="inlineStr">
        <is>
          <t>Духовные практики</t>
        </is>
      </c>
      <c r="AE839" s="1" t="inlineStr">
        <is>
          <t>офсетная</t>
        </is>
      </c>
      <c r="AG839" s="1" t="n">
        <v>10038000</v>
      </c>
      <c r="AI839" s="1" t="inlineStr">
        <is>
          <t>4901990000</t>
        </is>
      </c>
      <c r="AJ839" s="1" t="inlineStr">
        <is>
          <t>Зпв</t>
        </is>
      </c>
    </row>
    <row r="840" customFormat="1" s="1">
      <c r="C840" s="1" t="inlineStr">
        <is>
          <t xml:space="preserve">8404760             </t>
        </is>
      </c>
      <c r="D840" s="1" t="inlineStr">
        <is>
          <t>Новый образ жизни</t>
        </is>
      </c>
      <c r="E840" s="1" t="inlineStr">
        <is>
          <t>Новая земля. Пробуждение к своей жизненной цели. Толле Э.</t>
        </is>
      </c>
      <c r="F840" s="13" t="inlineStr">
        <is>
          <t>См.обл.</t>
        </is>
      </c>
      <c r="G840" s="1" t="inlineStr">
        <is>
          <t>Толле Э.</t>
        </is>
      </c>
      <c r="H840" s="1" t="inlineStr">
        <is>
          <t>60х90/16</t>
        </is>
      </c>
      <c r="I840" s="1" t="n">
        <v>336</v>
      </c>
      <c r="J840" s="1" t="inlineStr">
        <is>
          <t>РИПОЛ Классик</t>
        </is>
      </c>
      <c r="M840" s="1" t="inlineStr">
        <is>
          <t>2026</t>
        </is>
      </c>
      <c r="N840" s="1" t="inlineStr">
        <is>
          <t>П</t>
        </is>
      </c>
      <c r="O840" s="9" t="n">
        <v>12</v>
      </c>
      <c r="P840" s="1">
        <f>ROUNDUP(770*(1-$F$3),2)</f>
        <v/>
      </c>
      <c r="Q840" s="1" t="inlineStr">
        <is>
          <t> </t>
        </is>
      </c>
      <c r="R840" s="1" t="inlineStr">
        <is>
          <t>978-5-386-10500-6</t>
        </is>
      </c>
      <c r="S840" s="1" t="inlineStr">
        <is>
          <t>9785386105006</t>
        </is>
      </c>
      <c r="T840" s="9" t="n">
        <v>22</v>
      </c>
      <c r="U840" s="1">
        <f>ROUNDUP(631.15*(1-$F$3),2)</f>
        <v/>
      </c>
      <c r="V840" s="1" t="n">
        <v>323</v>
      </c>
      <c r="Y840" s="1" t="inlineStr">
        <is>
          <t>Новая земля. Пробуждение к своей жизненной цели</t>
        </is>
      </c>
      <c r="Z840" s="1" t="inlineStr">
        <is>
          <t>12+</t>
        </is>
      </c>
      <c r="AA840" s="12" t="n">
        <v>43069</v>
      </c>
      <c r="AB840" s="1" t="inlineStr">
        <is>
          <t>Религии. Эзотерика. Оккультизм</t>
        </is>
      </c>
      <c r="AC840" s="1" t="inlineStr">
        <is>
          <t>Эзотерика. Парапсихология. Тайны</t>
        </is>
      </c>
      <c r="AD840" s="1" t="inlineStr">
        <is>
          <t>Эзотерические учения. Теософия</t>
        </is>
      </c>
      <c r="AE840" s="1" t="inlineStr">
        <is>
          <t>газетная</t>
        </is>
      </c>
      <c r="AG840" s="1" t="n">
        <v>8404760</v>
      </c>
      <c r="AI840" s="1" t="inlineStr">
        <is>
          <t>4901990000</t>
        </is>
      </c>
    </row>
    <row r="841" customFormat="1" s="1">
      <c r="C841" s="1" t="inlineStr">
        <is>
          <t xml:space="preserve">11540410            </t>
        </is>
      </c>
      <c r="D841" s="1" t="inlineStr">
        <is>
          <t>Новый образ жизни</t>
        </is>
      </c>
      <c r="E841" s="1" t="inlineStr">
        <is>
          <t>Новое сознание. Универсальный путь на свободу. Рэй М.</t>
        </is>
      </c>
      <c r="F841" s="13" t="inlineStr">
        <is>
          <t>См.обл.</t>
        </is>
      </c>
      <c r="G841" s="1" t="inlineStr">
        <is>
          <t>Рэй М.</t>
        </is>
      </c>
      <c r="H841" s="1" t="inlineStr">
        <is>
          <t>60х90/16</t>
        </is>
      </c>
      <c r="I841" s="1" t="n">
        <v>256</v>
      </c>
      <c r="J841" s="1" t="inlineStr">
        <is>
          <t>РИПОЛ Классик</t>
        </is>
      </c>
      <c r="M841" s="1" t="inlineStr">
        <is>
          <t>2025</t>
        </is>
      </c>
      <c r="N841" s="1" t="inlineStr">
        <is>
          <t>П</t>
        </is>
      </c>
      <c r="O841" s="9" t="n">
        <v>8</v>
      </c>
      <c r="P841" s="1">
        <f>ROUNDUP(1070*(1-$F$3),2)</f>
        <v/>
      </c>
      <c r="Q841" s="1" t="inlineStr">
        <is>
          <t> </t>
        </is>
      </c>
      <c r="R841" s="1" t="inlineStr">
        <is>
          <t>978-5-386-15328-1</t>
        </is>
      </c>
      <c r="S841" s="1" t="inlineStr">
        <is>
          <t>9785386153281</t>
        </is>
      </c>
      <c r="T841" s="9" t="n">
        <v>10</v>
      </c>
      <c r="U841" s="1">
        <f>ROUNDUP(972.73*(1-$F$3),2)</f>
        <v/>
      </c>
      <c r="V841" s="1" t="n">
        <v>378</v>
      </c>
      <c r="Y841" s="1" t="inlineStr">
        <is>
          <t>Новое сознание. Универсальный путь на свободу</t>
        </is>
      </c>
      <c r="Z841" s="1" t="inlineStr">
        <is>
          <t>12+</t>
        </is>
      </c>
      <c r="AA841" s="12" t="n">
        <v>45607</v>
      </c>
      <c r="AB841" s="1" t="inlineStr">
        <is>
          <t>Гуманитарные науки</t>
        </is>
      </c>
      <c r="AC841" s="1" t="inlineStr">
        <is>
          <t>Психология</t>
        </is>
      </c>
      <c r="AD841" s="1" t="inlineStr">
        <is>
          <t>Популярная психология</t>
        </is>
      </c>
      <c r="AE841" s="1" t="inlineStr">
        <is>
          <t>офсетная</t>
        </is>
      </c>
      <c r="AG841" s="1" t="n">
        <v>11540410</v>
      </c>
      <c r="AI841" s="1" t="inlineStr">
        <is>
          <t>4901990000</t>
        </is>
      </c>
    </row>
    <row r="842" customFormat="1" s="11">
      <c r="A842" s="11" t="inlineStr">
        <is>
          <t>нов</t>
        </is>
      </c>
      <c r="C842" s="11" t="inlineStr">
        <is>
          <t xml:space="preserve">12259200            </t>
        </is>
      </c>
      <c r="D842" s="11" t="inlineStr">
        <is>
          <t>Новый образ жизни</t>
        </is>
      </c>
      <c r="E842" s="11" t="inlineStr">
        <is>
          <t>Спать легко! Как перестать воевать с ночью,  уснуть без таблеток и проснуться без будильника (обл.). Берг А.</t>
        </is>
      </c>
      <c r="F842" s="14" t="inlineStr">
        <is>
          <t>См.обл.</t>
        </is>
      </c>
      <c r="G842" s="11" t="inlineStr">
        <is>
          <t>Берг А.</t>
        </is>
      </c>
      <c r="H842" s="11" t="inlineStr">
        <is>
          <t>84х108/32</t>
        </is>
      </c>
      <c r="I842" s="11" t="n">
        <v>208</v>
      </c>
      <c r="J842" s="11" t="inlineStr">
        <is>
          <t>РИПОЛ Классик</t>
        </is>
      </c>
      <c r="M842" s="11" t="inlineStr">
        <is>
          <t>2026</t>
        </is>
      </c>
      <c r="N842" s="11" t="inlineStr">
        <is>
          <t>О</t>
        </is>
      </c>
      <c r="O842" s="26" t="n">
        <v>20</v>
      </c>
      <c r="P842" s="11">
        <f>ROUNDUP(490*(1-$F$3),2)</f>
        <v/>
      </c>
      <c r="Q842" s="11" t="inlineStr">
        <is>
          <t> </t>
        </is>
      </c>
      <c r="R842" s="11" t="inlineStr">
        <is>
          <t>978-5-386-15720-3</t>
        </is>
      </c>
      <c r="S842" s="11" t="inlineStr">
        <is>
          <t>9785386157203</t>
        </is>
      </c>
      <c r="T842" s="26" t="n">
        <v>10</v>
      </c>
      <c r="U842" s="11">
        <f>ROUNDUP(445.45*(1-$F$3),2)</f>
        <v/>
      </c>
      <c r="V842" s="11" t="n">
        <v>172</v>
      </c>
      <c r="Y842" s="11" t="inlineStr">
        <is>
          <t>Спать легко! Как перестать воевать с ночью,  уснуть без таблеток и проснуться без будильника (обл.)</t>
        </is>
      </c>
      <c r="Z842" s="11" t="inlineStr">
        <is>
          <t>16+</t>
        </is>
      </c>
      <c r="AA842" s="15" t="n">
        <v>46272</v>
      </c>
      <c r="AB842" s="11" t="inlineStr">
        <is>
          <t>Гуманитарные науки</t>
        </is>
      </c>
      <c r="AC842" s="11" t="inlineStr">
        <is>
          <t>Психология</t>
        </is>
      </c>
      <c r="AD842" s="11" t="inlineStr">
        <is>
          <t>Популярная психология</t>
        </is>
      </c>
      <c r="AE842" s="11" t="inlineStr">
        <is>
          <t>офсетная</t>
        </is>
      </c>
      <c r="AG842" s="11" t="n">
        <v>12259200</v>
      </c>
      <c r="AI842" s="11" t="inlineStr">
        <is>
          <t>4901990000</t>
        </is>
      </c>
    </row>
    <row r="843" customFormat="1" s="1">
      <c r="C843" s="1" t="inlineStr">
        <is>
          <t xml:space="preserve">12235500            </t>
        </is>
      </c>
      <c r="D843" s="1" t="inlineStr">
        <is>
          <t>Новый образ жизни</t>
        </is>
      </c>
      <c r="E843" s="1" t="inlineStr">
        <is>
          <t>Спать легко! Как перестать воевать с ночью, уснуть без таблеток и проснуться без будильника (пер.). Берг А.</t>
        </is>
      </c>
      <c r="F843" s="13" t="inlineStr">
        <is>
          <t>См.обл.</t>
        </is>
      </c>
      <c r="G843" s="1" t="inlineStr">
        <is>
          <t>Берг А.</t>
        </is>
      </c>
      <c r="H843" s="1" t="inlineStr">
        <is>
          <t>84х108/32</t>
        </is>
      </c>
      <c r="I843" s="1" t="n">
        <v>208</v>
      </c>
      <c r="J843" s="1" t="inlineStr">
        <is>
          <t>РИПОЛ Классик</t>
        </is>
      </c>
      <c r="M843" s="1" t="inlineStr">
        <is>
          <t>2026</t>
        </is>
      </c>
      <c r="N843" s="1" t="inlineStr">
        <is>
          <t>П</t>
        </is>
      </c>
      <c r="O843" s="9" t="n">
        <v>14</v>
      </c>
      <c r="P843" s="1">
        <f>ROUNDUP(800*(1-$F$3),2)</f>
        <v/>
      </c>
      <c r="Q843" s="1" t="inlineStr">
        <is>
          <t> </t>
        </is>
      </c>
      <c r="R843" s="1" t="inlineStr">
        <is>
          <t>978-5-386-15687-9</t>
        </is>
      </c>
      <c r="S843" s="1" t="inlineStr">
        <is>
          <t>9785386156879</t>
        </is>
      </c>
      <c r="T843" s="9" t="n">
        <v>10</v>
      </c>
      <c r="U843" s="1">
        <f>ROUNDUP(727.27*(1-$F$3),2)</f>
        <v/>
      </c>
      <c r="V843" s="1" t="n">
        <v>309</v>
      </c>
      <c r="Y843" s="1" t="inlineStr">
        <is>
          <t>Спать легко! Как перестать воевать с ночью, уснуть без таблеток и проснуться без будильника (пер.)</t>
        </is>
      </c>
      <c r="Z843" s="1" t="inlineStr">
        <is>
          <t>16+</t>
        </is>
      </c>
      <c r="AA843" s="12" t="n">
        <v>46244</v>
      </c>
      <c r="AB843" s="1" t="inlineStr">
        <is>
          <t>Гуманитарные науки</t>
        </is>
      </c>
      <c r="AC843" s="1" t="inlineStr">
        <is>
          <t>Психология</t>
        </is>
      </c>
      <c r="AD843" s="1" t="inlineStr">
        <is>
          <t>Популярная психология</t>
        </is>
      </c>
      <c r="AE843" s="1" t="inlineStr">
        <is>
          <t>офсетная</t>
        </is>
      </c>
      <c r="AG843" s="1" t="n">
        <v>12235500</v>
      </c>
      <c r="AI843" s="1" t="inlineStr">
        <is>
          <t>4901990000</t>
        </is>
      </c>
    </row>
    <row r="844" customFormat="1" s="1">
      <c r="C844" s="1" t="inlineStr">
        <is>
          <t xml:space="preserve">12230630            </t>
        </is>
      </c>
      <c r="D844" s="1" t="inlineStr">
        <is>
          <t>Новый образ жизни</t>
        </is>
      </c>
      <c r="E844" s="1" t="inlineStr">
        <is>
          <t>Хватит хотеть! Как укротить дофамин и вернуть вкус к жизни. Берг А.</t>
        </is>
      </c>
      <c r="F844" s="13" t="inlineStr">
        <is>
          <t>См.обл.</t>
        </is>
      </c>
      <c r="G844" s="1" t="inlineStr">
        <is>
          <t>Берг А.</t>
        </is>
      </c>
      <c r="H844" s="1" t="inlineStr">
        <is>
          <t>84х108/32</t>
        </is>
      </c>
      <c r="I844" s="1" t="n">
        <v>224</v>
      </c>
      <c r="J844" s="1" t="inlineStr">
        <is>
          <t>РИПОЛ Классик</t>
        </is>
      </c>
      <c r="M844" s="1" t="inlineStr">
        <is>
          <t>2026</t>
        </is>
      </c>
      <c r="N844" s="1" t="inlineStr">
        <is>
          <t>О</t>
        </is>
      </c>
      <c r="O844" s="9" t="n">
        <v>18</v>
      </c>
      <c r="P844" s="1">
        <f>ROUNDUP(550*(1-$F$3),2)</f>
        <v/>
      </c>
      <c r="Q844" s="1" t="inlineStr">
        <is>
          <t> </t>
        </is>
      </c>
      <c r="R844" s="1" t="inlineStr">
        <is>
          <t>978-5-386-15689-3</t>
        </is>
      </c>
      <c r="S844" s="1" t="inlineStr">
        <is>
          <t>9785386156893</t>
        </is>
      </c>
      <c r="T844" s="9" t="n">
        <v>10</v>
      </c>
      <c r="U844" s="1">
        <f>ROUNDUP(500*(1-$F$3),2)</f>
        <v/>
      </c>
      <c r="V844" s="1" t="n">
        <v>182</v>
      </c>
      <c r="Y844" s="1" t="inlineStr">
        <is>
          <t>Хватит хотеть! Как укротить дофамин и вернуть вкус к жизни</t>
        </is>
      </c>
      <c r="Z844" s="1" t="inlineStr">
        <is>
          <t>16+</t>
        </is>
      </c>
      <c r="AA844" s="12" t="n">
        <v>46239</v>
      </c>
      <c r="AB844" s="1" t="inlineStr">
        <is>
          <t>Гуманитарные науки</t>
        </is>
      </c>
      <c r="AC844" s="1" t="inlineStr">
        <is>
          <t>Психология</t>
        </is>
      </c>
      <c r="AD844" s="1" t="inlineStr">
        <is>
          <t>Психология личности. Характер. Личностный рост</t>
        </is>
      </c>
      <c r="AE844" s="1" t="inlineStr">
        <is>
          <t>офсетная</t>
        </is>
      </c>
      <c r="AG844" s="1" t="n">
        <v>12230630</v>
      </c>
      <c r="AI844" s="1" t="inlineStr">
        <is>
          <t>4901990000</t>
        </is>
      </c>
    </row>
    <row r="845" customFormat="1" s="11">
      <c r="A845" s="11" t="inlineStr">
        <is>
          <t>нов</t>
        </is>
      </c>
      <c r="C845" s="11" t="inlineStr">
        <is>
          <t xml:space="preserve">12257590            </t>
        </is>
      </c>
      <c r="D845" s="11" t="inlineStr">
        <is>
          <t>Новый образ жизни</t>
        </is>
      </c>
      <c r="E845" s="11" t="inlineStr">
        <is>
          <t>Цифра - это не ты. Экранный детокс в действии. Верни себе контроль над вниманием. Берг А.</t>
        </is>
      </c>
      <c r="F845" s="14" t="inlineStr">
        <is>
          <t>См.обл.</t>
        </is>
      </c>
      <c r="G845" s="11" t="inlineStr">
        <is>
          <t>Берг А.</t>
        </is>
      </c>
      <c r="H845" s="11" t="inlineStr">
        <is>
          <t>84х108/32</t>
        </is>
      </c>
      <c r="I845" s="11" t="n">
        <v>320</v>
      </c>
      <c r="J845" s="11" t="inlineStr">
        <is>
          <t>РИПОЛ Классик</t>
        </is>
      </c>
      <c r="M845" s="11" t="inlineStr">
        <is>
          <t>2026</t>
        </is>
      </c>
      <c r="N845" s="11" t="inlineStr">
        <is>
          <t>П</t>
        </is>
      </c>
      <c r="O845" s="26" t="n">
        <v>10</v>
      </c>
      <c r="P845" s="11">
        <f>ROUNDUP(890*(1-$F$3),2)</f>
        <v/>
      </c>
      <c r="Q845" s="11" t="inlineStr">
        <is>
          <t> </t>
        </is>
      </c>
      <c r="R845" s="11" t="inlineStr">
        <is>
          <t>978-5-386-15690-9</t>
        </is>
      </c>
      <c r="S845" s="11" t="inlineStr">
        <is>
          <t>9785386156909</t>
        </is>
      </c>
      <c r="T845" s="26" t="n">
        <v>10</v>
      </c>
      <c r="U845" s="11">
        <f>ROUNDUP(809.09*(1-$F$3),2)</f>
        <v/>
      </c>
      <c r="V845" s="11" t="n">
        <v>418</v>
      </c>
      <c r="Y845" s="11" t="inlineStr">
        <is>
          <t>Цифра - это не ты. Экранный детокс в действии. Верни себе контроль над вниманием</t>
        </is>
      </c>
      <c r="Z845" s="11" t="inlineStr">
        <is>
          <t>16+</t>
        </is>
      </c>
      <c r="AA845" s="15" t="n">
        <v>46268</v>
      </c>
      <c r="AB845" s="11" t="inlineStr">
        <is>
          <t>Гуманитарные науки</t>
        </is>
      </c>
      <c r="AC845" s="11" t="inlineStr">
        <is>
          <t>Психология</t>
        </is>
      </c>
      <c r="AD845" s="11" t="inlineStr">
        <is>
          <t>Практическая психология</t>
        </is>
      </c>
      <c r="AE845" s="11" t="inlineStr">
        <is>
          <t>офсетная</t>
        </is>
      </c>
      <c r="AG845" s="11" t="n">
        <v>12257590</v>
      </c>
      <c r="AI845" s="11" t="inlineStr">
        <is>
          <t>4901990000</t>
        </is>
      </c>
    </row>
    <row r="846" customFormat="1" s="1">
      <c r="C846" s="1" t="inlineStr">
        <is>
          <t xml:space="preserve">9278250             </t>
        </is>
      </c>
      <c r="D846" s="1" t="inlineStr">
        <is>
          <t>Ной Гипнотик</t>
        </is>
      </c>
      <c r="E846" s="1" t="inlineStr">
        <is>
          <t>Очень странные увлечения Ноя Гипнотика. Арнольд Д.</t>
        </is>
      </c>
      <c r="F846" s="13" t="inlineStr">
        <is>
          <t>См.обл.</t>
        </is>
      </c>
      <c r="G846" s="1" t="inlineStr">
        <is>
          <t>Арнольд Д.</t>
        </is>
      </c>
      <c r="H846" s="1" t="inlineStr">
        <is>
          <t>84х108/32</t>
        </is>
      </c>
      <c r="I846" s="1" t="n">
        <v>432</v>
      </c>
      <c r="J846" s="1" t="inlineStr">
        <is>
          <t>РИПОЛ Классик</t>
        </is>
      </c>
      <c r="M846" s="1" t="inlineStr">
        <is>
          <t>2020</t>
        </is>
      </c>
      <c r="N846" s="1" t="inlineStr">
        <is>
          <t>П</t>
        </is>
      </c>
      <c r="O846" s="9" t="n">
        <v>10</v>
      </c>
      <c r="P846" s="1">
        <f>ROUNDUP(1296.9*(1-$F$3),2)</f>
        <v/>
      </c>
      <c r="Q846" s="1" t="inlineStr">
        <is>
          <t> </t>
        </is>
      </c>
      <c r="R846" s="1" t="inlineStr">
        <is>
          <t>978-5-386-13572-0</t>
        </is>
      </c>
      <c r="S846" s="1" t="inlineStr">
        <is>
          <t>9785386135720</t>
        </is>
      </c>
      <c r="T846" s="9" t="n">
        <v>10</v>
      </c>
      <c r="U846" s="1">
        <f>ROUNDUP(1179*(1-$F$3),2)</f>
        <v/>
      </c>
      <c r="V846" s="1" t="n">
        <v>424</v>
      </c>
      <c r="Y846" s="1" t="inlineStr">
        <is>
          <t>Очень странные увлечения Ноя Гипнотика</t>
        </is>
      </c>
      <c r="Z846" s="1" t="inlineStr">
        <is>
          <t>16+</t>
        </is>
      </c>
      <c r="AA846" s="12" t="n">
        <v>43857</v>
      </c>
      <c r="AB846" s="1" t="inlineStr">
        <is>
          <t>Художественная литература</t>
        </is>
      </c>
      <c r="AC846" s="1" t="inlineStr">
        <is>
          <t>Зарубежная литература</t>
        </is>
      </c>
      <c r="AD846" s="1" t="inlineStr">
        <is>
          <t>Литература Америки и Австралии</t>
        </is>
      </c>
      <c r="AE846" s="1" t="inlineStr">
        <is>
          <t>офсетная</t>
        </is>
      </c>
      <c r="AG846" s="1" t="n">
        <v>9278250</v>
      </c>
      <c r="AI846" s="1" t="inlineStr">
        <is>
          <t>4901990000</t>
        </is>
      </c>
    </row>
    <row r="847" customFormat="1" s="1">
      <c r="C847" s="1" t="inlineStr">
        <is>
          <t xml:space="preserve">9112600             </t>
        </is>
      </c>
      <c r="D847" s="1" t="inlineStr">
        <is>
          <t>Нуар</t>
        </is>
      </c>
      <c r="E847" s="1" t="inlineStr">
        <is>
          <t>Смерть автора. Нессер Х.</t>
        </is>
      </c>
      <c r="F847" s="13" t="inlineStr">
        <is>
          <t>См.обл.</t>
        </is>
      </c>
      <c r="G847" s="1" t="inlineStr">
        <is>
          <t>Нессер Х.</t>
        </is>
      </c>
      <c r="H847" s="1" t="inlineStr">
        <is>
          <t>60х90/16</t>
        </is>
      </c>
      <c r="I847" s="1" t="n">
        <v>309</v>
      </c>
      <c r="J847" s="1" t="inlineStr">
        <is>
          <t>РИПОЛ Классик</t>
        </is>
      </c>
      <c r="K847" s="1" t="inlineStr">
        <is>
          <t>Пальмира</t>
        </is>
      </c>
      <c r="M847" s="1" t="inlineStr">
        <is>
          <t>2019</t>
        </is>
      </c>
      <c r="N847" s="1" t="inlineStr">
        <is>
          <t>О</t>
        </is>
      </c>
      <c r="O847" s="9" t="n">
        <v>12</v>
      </c>
      <c r="P847" s="1">
        <f>ROUNDUP(970*(1-$F$3),2)</f>
        <v/>
      </c>
      <c r="Q847" s="1" t="inlineStr">
        <is>
          <t> </t>
        </is>
      </c>
      <c r="R847" s="1" t="inlineStr">
        <is>
          <t>978-5-386-12378-9</t>
        </is>
      </c>
      <c r="S847" s="1" t="inlineStr">
        <is>
          <t>9785386123789</t>
        </is>
      </c>
      <c r="T847" s="9" t="n">
        <v>10</v>
      </c>
      <c r="U847" s="1">
        <f>ROUNDUP(881.82*(1-$F$3),2)</f>
        <v/>
      </c>
      <c r="V847" s="1" t="n">
        <v>331</v>
      </c>
      <c r="Y847" s="1" t="inlineStr">
        <is>
          <t>Смерть автора</t>
        </is>
      </c>
      <c r="Z847" s="1" t="inlineStr">
        <is>
          <t>18+</t>
        </is>
      </c>
      <c r="AA847" s="12" t="n">
        <v>43682</v>
      </c>
      <c r="AB847" s="1" t="inlineStr">
        <is>
          <t>Художественная литература</t>
        </is>
      </c>
      <c r="AC847" s="1" t="inlineStr">
        <is>
          <t>Детективы. Боевики. Триллеры</t>
        </is>
      </c>
      <c r="AD847" s="1" t="inlineStr">
        <is>
          <t>Зарубежный детектив</t>
        </is>
      </c>
      <c r="AE847" s="1" t="inlineStr">
        <is>
          <t>офсетная</t>
        </is>
      </c>
      <c r="AG847" s="1" t="n">
        <v>9112600</v>
      </c>
      <c r="AI847" s="1" t="inlineStr">
        <is>
          <t>4901990000</t>
        </is>
      </c>
    </row>
    <row r="848" customFormat="1" s="1">
      <c r="C848" s="1" t="inlineStr">
        <is>
          <t xml:space="preserve">11775700            </t>
        </is>
      </c>
      <c r="D848" s="1" t="inlineStr">
        <is>
          <t>Обитель Тьмы</t>
        </is>
      </c>
      <c r="E848" s="1" t="inlineStr">
        <is>
          <t>Вампиры. Из семейной хроники графов Дракула-Карди. Олшеври</t>
        </is>
      </c>
      <c r="F848" s="13" t="inlineStr">
        <is>
          <t>См.обл.</t>
        </is>
      </c>
      <c r="G848" s="1" t="inlineStr">
        <is>
          <t>Олшеври</t>
        </is>
      </c>
      <c r="H848" s="1" t="inlineStr">
        <is>
          <t>84х108/32</t>
        </is>
      </c>
      <c r="I848" s="1" t="n">
        <v>320</v>
      </c>
      <c r="J848" s="1" t="inlineStr">
        <is>
          <t>РИПОЛ Классик</t>
        </is>
      </c>
      <c r="M848" s="1" t="inlineStr">
        <is>
          <t>2025</t>
        </is>
      </c>
      <c r="N848" s="1" t="inlineStr">
        <is>
          <t>П</t>
        </is>
      </c>
      <c r="O848" s="9" t="n">
        <v>5</v>
      </c>
      <c r="P848" s="1">
        <f>ROUNDUP(1040*(1-$F$3),2)</f>
        <v/>
      </c>
      <c r="Q848" s="1" t="inlineStr">
        <is>
          <t> </t>
        </is>
      </c>
      <c r="R848" s="1" t="inlineStr">
        <is>
          <t>978-5-386-15406-6</t>
        </is>
      </c>
      <c r="S848" s="1" t="inlineStr">
        <is>
          <t>9785386154066</t>
        </is>
      </c>
      <c r="T848" s="9" t="n">
        <v>10</v>
      </c>
      <c r="U848" s="1">
        <f>ROUNDUP(945.45*(1-$F$3),2)</f>
        <v/>
      </c>
      <c r="V848" s="1" t="n">
        <v>371</v>
      </c>
      <c r="Y848" s="1" t="inlineStr">
        <is>
          <t>Вампиры. Из семейной хроники графов Дракула-Карди</t>
        </is>
      </c>
      <c r="Z848" s="1" t="inlineStr">
        <is>
          <t>16+</t>
        </is>
      </c>
      <c r="AA848" s="12" t="n">
        <v>45818</v>
      </c>
      <c r="AB848" s="1" t="inlineStr">
        <is>
          <t>Художественная литература</t>
        </is>
      </c>
      <c r="AC848" s="1" t="inlineStr">
        <is>
          <t>Фантастика. Мистика. Ужасы</t>
        </is>
      </c>
      <c r="AD848" s="1" t="inlineStr">
        <is>
          <t>Мистика. Ужасы</t>
        </is>
      </c>
      <c r="AE848" s="1" t="inlineStr">
        <is>
          <t>офсетная</t>
        </is>
      </c>
      <c r="AG848" s="1" t="n">
        <v>11775700</v>
      </c>
      <c r="AI848" s="1" t="inlineStr">
        <is>
          <t>4901990000</t>
        </is>
      </c>
    </row>
    <row r="849" customFormat="1" s="1">
      <c r="C849" s="1" t="inlineStr">
        <is>
          <t xml:space="preserve">11775730            </t>
        </is>
      </c>
      <c r="D849" s="1" t="inlineStr">
        <is>
          <t>Обитель Тьмы</t>
        </is>
      </c>
      <c r="E849" s="1" t="inlineStr">
        <is>
          <t>Загадочные исчезновения. Бирс А.</t>
        </is>
      </c>
      <c r="F849" s="13" t="inlineStr">
        <is>
          <t>См.обл.</t>
        </is>
      </c>
      <c r="G849" s="1" t="inlineStr">
        <is>
          <t>Бирс А.</t>
        </is>
      </c>
      <c r="H849" s="1" t="inlineStr">
        <is>
          <t>84х108/32</t>
        </is>
      </c>
      <c r="I849" s="1" t="n">
        <v>320</v>
      </c>
      <c r="J849" s="1" t="inlineStr">
        <is>
          <t>РИПОЛ Классик</t>
        </is>
      </c>
      <c r="M849" s="1" t="inlineStr">
        <is>
          <t>2025</t>
        </is>
      </c>
      <c r="N849" s="1" t="inlineStr">
        <is>
          <t>П</t>
        </is>
      </c>
      <c r="O849" s="9" t="n">
        <v>5</v>
      </c>
      <c r="P849" s="1">
        <f>ROUNDUP(1040*(1-$F$3),2)</f>
        <v/>
      </c>
      <c r="Q849" s="1" t="inlineStr">
        <is>
          <t> </t>
        </is>
      </c>
      <c r="R849" s="1" t="inlineStr">
        <is>
          <t>978-5-386-15404-2</t>
        </is>
      </c>
      <c r="S849" s="1" t="inlineStr">
        <is>
          <t>9785386154042</t>
        </is>
      </c>
      <c r="T849" s="9" t="n">
        <v>10</v>
      </c>
      <c r="U849" s="1">
        <f>ROUNDUP(945.45*(1-$F$3),2)</f>
        <v/>
      </c>
      <c r="V849" s="1" t="n">
        <v>371</v>
      </c>
      <c r="Y849" s="1" t="inlineStr">
        <is>
          <t>Загадочные исчезновения</t>
        </is>
      </c>
      <c r="Z849" s="1" t="inlineStr">
        <is>
          <t>16+</t>
        </is>
      </c>
      <c r="AA849" s="12" t="n">
        <v>45818</v>
      </c>
      <c r="AB849" s="1" t="inlineStr">
        <is>
          <t>Художественная литература</t>
        </is>
      </c>
      <c r="AC849" s="1" t="inlineStr">
        <is>
          <t>Фантастика. Мистика. Ужасы</t>
        </is>
      </c>
      <c r="AD849" s="1" t="inlineStr">
        <is>
          <t>Мистика. Ужасы</t>
        </is>
      </c>
      <c r="AE849" s="1" t="inlineStr">
        <is>
          <t>офсетная</t>
        </is>
      </c>
      <c r="AG849" s="1" t="n">
        <v>11775730</v>
      </c>
      <c r="AI849" s="1" t="inlineStr">
        <is>
          <t>4901990000</t>
        </is>
      </c>
    </row>
    <row r="850" customFormat="1" s="1">
      <c r="C850" s="1" t="inlineStr">
        <is>
          <t xml:space="preserve">11775710            </t>
        </is>
      </c>
      <c r="D850" s="1" t="inlineStr">
        <is>
          <t>Обитель Тьмы</t>
        </is>
      </c>
      <c r="E850" s="1" t="inlineStr">
        <is>
          <t>Король в Желтом. Чамберс Р.</t>
        </is>
      </c>
      <c r="F850" s="13" t="inlineStr">
        <is>
          <t>См.обл.</t>
        </is>
      </c>
      <c r="G850" s="1" t="inlineStr">
        <is>
          <t>Чамберс Р.</t>
        </is>
      </c>
      <c r="H850" s="1" t="inlineStr">
        <is>
          <t>84х108/32</t>
        </is>
      </c>
      <c r="I850" s="1" t="n">
        <v>320</v>
      </c>
      <c r="J850" s="1" t="inlineStr">
        <is>
          <t>РИПОЛ Классик</t>
        </is>
      </c>
      <c r="M850" s="1" t="inlineStr">
        <is>
          <t>2025</t>
        </is>
      </c>
      <c r="N850" s="1" t="inlineStr">
        <is>
          <t>П</t>
        </is>
      </c>
      <c r="O850" s="9" t="n">
        <v>5</v>
      </c>
      <c r="P850" s="1">
        <f>ROUNDUP(1040*(1-$F$3),2)</f>
        <v/>
      </c>
      <c r="Q850" s="1" t="inlineStr">
        <is>
          <t> </t>
        </is>
      </c>
      <c r="R850" s="1" t="inlineStr">
        <is>
          <t>978-5-386-15410-3</t>
        </is>
      </c>
      <c r="S850" s="1" t="inlineStr">
        <is>
          <t>9785386154103</t>
        </is>
      </c>
      <c r="T850" s="9" t="n">
        <v>10</v>
      </c>
      <c r="U850" s="1">
        <f>ROUNDUP(945.45*(1-$F$3),2)</f>
        <v/>
      </c>
      <c r="V850" s="1" t="n">
        <v>372</v>
      </c>
      <c r="Y850" s="1" t="inlineStr">
        <is>
          <t>Король в Желтом</t>
        </is>
      </c>
      <c r="Z850" s="1" t="inlineStr">
        <is>
          <t>16+</t>
        </is>
      </c>
      <c r="AA850" s="12" t="n">
        <v>45818</v>
      </c>
      <c r="AB850" s="1" t="inlineStr">
        <is>
          <t>Художественная литература</t>
        </is>
      </c>
      <c r="AC850" s="1" t="inlineStr">
        <is>
          <t>Фантастика. Мистика. Ужасы</t>
        </is>
      </c>
      <c r="AD850" s="1" t="inlineStr">
        <is>
          <t>Мистика. Ужасы</t>
        </is>
      </c>
      <c r="AE850" s="1" t="inlineStr">
        <is>
          <t>офсетная</t>
        </is>
      </c>
      <c r="AG850" s="1" t="n">
        <v>11775710</v>
      </c>
      <c r="AI850" s="1" t="inlineStr">
        <is>
          <t>4901990000</t>
        </is>
      </c>
    </row>
    <row r="851" customFormat="1" s="1">
      <c r="C851" s="1" t="inlineStr">
        <is>
          <t xml:space="preserve">8329720             </t>
        </is>
      </c>
      <c r="D851" s="1" t="inlineStr">
        <is>
          <t>Одноклассники. Выбор читателя</t>
        </is>
      </c>
      <c r="E851" s="1" t="inlineStr">
        <is>
          <t>Пантелей, Пугало и отличница Перышкина. Алеников В.М.</t>
        </is>
      </c>
      <c r="F851" s="13" t="inlineStr">
        <is>
          <t>См.обл.</t>
        </is>
      </c>
      <c r="G851" s="1" t="inlineStr">
        <is>
          <t>Алеников В.М.</t>
        </is>
      </c>
      <c r="H851" s="1" t="inlineStr">
        <is>
          <t>60х90/16</t>
        </is>
      </c>
      <c r="I851" s="1" t="n">
        <v>172</v>
      </c>
      <c r="J851" s="1" t="inlineStr">
        <is>
          <t>РИПОЛ Классик</t>
        </is>
      </c>
      <c r="M851" s="1" t="inlineStr">
        <is>
          <t>2017</t>
        </is>
      </c>
      <c r="N851" s="1" t="inlineStr">
        <is>
          <t>П</t>
        </is>
      </c>
      <c r="O851" s="9" t="n">
        <v>18</v>
      </c>
      <c r="P851" s="1">
        <f>ROUNDUP(1104.2*(1-$F$3),2)</f>
        <v/>
      </c>
      <c r="Q851" s="1" t="inlineStr">
        <is>
          <t> </t>
        </is>
      </c>
      <c r="R851" s="1" t="inlineStr">
        <is>
          <t>978-5-386-10320-0</t>
        </is>
      </c>
      <c r="S851" s="1" t="inlineStr">
        <is>
          <t>9785386103200</t>
        </is>
      </c>
      <c r="T851" s="9" t="n">
        <v>10</v>
      </c>
      <c r="U851" s="1">
        <f>ROUNDUP(1003.82*(1-$F$3),2)</f>
        <v/>
      </c>
      <c r="V851" s="1" t="n">
        <v>332</v>
      </c>
      <c r="Y851" s="1" t="inlineStr">
        <is>
          <t>Пантелей, Пугало и отличница Перышкина</t>
        </is>
      </c>
      <c r="Z851" s="1" t="inlineStr">
        <is>
          <t>6 +</t>
        </is>
      </c>
      <c r="AA851" s="12" t="n">
        <v>43025</v>
      </c>
      <c r="AB851" s="1" t="inlineStr">
        <is>
          <t>Детская литература</t>
        </is>
      </c>
      <c r="AC851" s="1" t="inlineStr">
        <is>
          <t>Художественная литература</t>
        </is>
      </c>
      <c r="AD851" s="1" t="inlineStr">
        <is>
          <t>Приключения</t>
        </is>
      </c>
      <c r="AE851" s="1" t="inlineStr">
        <is>
          <t>офсетная</t>
        </is>
      </c>
      <c r="AG851" s="1" t="n">
        <v>8329720</v>
      </c>
      <c r="AI851" s="1" t="inlineStr">
        <is>
          <t>4901990000</t>
        </is>
      </c>
    </row>
    <row r="852" customFormat="1" s="1">
      <c r="C852" s="1" t="inlineStr">
        <is>
          <t xml:space="preserve">12236930            </t>
        </is>
      </c>
      <c r="D852" s="1" t="inlineStr">
        <is>
          <t>Олимпиадная высота</t>
        </is>
      </c>
      <c r="E852" s="1" t="inlineStr">
        <is>
          <t>Живая физика. От простого к сложному. От практики к олимпиадам. Семке А.И.</t>
        </is>
      </c>
      <c r="F852" s="13" t="inlineStr">
        <is>
          <t>См.обл.</t>
        </is>
      </c>
      <c r="G852" s="1" t="inlineStr">
        <is>
          <t>Семке А.И.</t>
        </is>
      </c>
      <c r="H852" s="1" t="inlineStr">
        <is>
          <t>60х90/16</t>
        </is>
      </c>
      <c r="I852" s="1" t="n">
        <v>516</v>
      </c>
      <c r="J852" s="1" t="inlineStr">
        <is>
          <t>РИПОЛ Классик</t>
        </is>
      </c>
      <c r="M852" s="1" t="inlineStr">
        <is>
          <t>2026</t>
        </is>
      </c>
      <c r="N852" s="1" t="inlineStr">
        <is>
          <t>П</t>
        </is>
      </c>
      <c r="O852" s="9" t="n">
        <v>6</v>
      </c>
      <c r="P852" s="1">
        <f>ROUNDUP(1350*(1-$F$3),2)</f>
        <v/>
      </c>
      <c r="Q852" s="1" t="inlineStr">
        <is>
          <t> </t>
        </is>
      </c>
      <c r="R852" s="1" t="inlineStr">
        <is>
          <t>978-5-386-15619-0</t>
        </is>
      </c>
      <c r="S852" s="1" t="inlineStr">
        <is>
          <t>9785386156190</t>
        </is>
      </c>
      <c r="T852" s="9" t="n">
        <v>10</v>
      </c>
      <c r="U852" s="1">
        <f>ROUNDUP(1227.27*(1-$F$3),2)</f>
        <v/>
      </c>
      <c r="V852" s="1" t="n">
        <v>702</v>
      </c>
      <c r="Y852" s="1" t="inlineStr">
        <is>
          <t>Живая физика. От простого к сложному. От практики к олимпиадам</t>
        </is>
      </c>
      <c r="Z852" s="1" t="inlineStr">
        <is>
          <t>12+</t>
        </is>
      </c>
      <c r="AA852" s="12" t="n">
        <v>46244</v>
      </c>
      <c r="AB852" s="1" t="inlineStr">
        <is>
          <t>Школьная литература</t>
        </is>
      </c>
      <c r="AC852" s="1" t="inlineStr">
        <is>
          <t>Средняя школа</t>
        </is>
      </c>
      <c r="AD852" s="1" t="inlineStr">
        <is>
          <t>Физика. Астрономия. Естествознание</t>
        </is>
      </c>
      <c r="AE852" s="1" t="inlineStr">
        <is>
          <t>офсетная</t>
        </is>
      </c>
      <c r="AG852" s="1" t="n">
        <v>12236930</v>
      </c>
      <c r="AI852" s="1" t="inlineStr">
        <is>
          <t>4901990000</t>
        </is>
      </c>
    </row>
    <row r="853" customFormat="1" s="1">
      <c r="C853" s="1" t="inlineStr">
        <is>
          <t xml:space="preserve">11603290            </t>
        </is>
      </c>
      <c r="D853" s="1" t="inlineStr">
        <is>
          <t>Острые грани истории</t>
        </is>
      </c>
      <c r="E853" s="1" t="inlineStr">
        <is>
          <t>"Паралитики власти" и "эпилептики революции". Звягинцев А.Г.</t>
        </is>
      </c>
      <c r="F853" s="13" t="inlineStr">
        <is>
          <t>См.обл.</t>
        </is>
      </c>
      <c r="G853" s="1" t="inlineStr">
        <is>
          <t>Звягинцев А.Г.</t>
        </is>
      </c>
      <c r="H853" s="1" t="inlineStr">
        <is>
          <t>84х108/32</t>
        </is>
      </c>
      <c r="I853" s="1" t="n">
        <v>356</v>
      </c>
      <c r="J853" s="1" t="inlineStr">
        <is>
          <t>РИПОЛ Классик</t>
        </is>
      </c>
      <c r="M853" s="1" t="inlineStr">
        <is>
          <t>2025</t>
        </is>
      </c>
      <c r="N853" s="1" t="inlineStr">
        <is>
          <t>П</t>
        </is>
      </c>
      <c r="O853" s="9" t="n">
        <v>5</v>
      </c>
      <c r="P853" s="1">
        <f>ROUNDUP(1250*(1-$F$3),2)</f>
        <v/>
      </c>
      <c r="Q853" s="1" t="inlineStr">
        <is>
          <t> </t>
        </is>
      </c>
      <c r="R853" s="1" t="inlineStr">
        <is>
          <t>978-5-386-15362-5</t>
        </is>
      </c>
      <c r="S853" s="1" t="inlineStr">
        <is>
          <t>9785386153625</t>
        </is>
      </c>
      <c r="T853" s="9" t="n">
        <v>10</v>
      </c>
      <c r="U853" s="1">
        <f>ROUNDUP(1136.36*(1-$F$3),2)</f>
        <v/>
      </c>
      <c r="V853" s="1" t="n">
        <v>401</v>
      </c>
      <c r="Y853" s="1" t="inlineStr">
        <is>
          <t>"Паралитики власти" и "эпилептики революции"</t>
        </is>
      </c>
      <c r="Z853" s="1" t="inlineStr">
        <is>
          <t>16+</t>
        </is>
      </c>
      <c r="AA853" s="12" t="n">
        <v>45653</v>
      </c>
      <c r="AB853" s="1" t="inlineStr">
        <is>
          <t>Гуманитарные науки</t>
        </is>
      </c>
      <c r="AC853" s="1" t="inlineStr">
        <is>
          <t>История</t>
        </is>
      </c>
      <c r="AD853" s="1" t="inlineStr">
        <is>
          <t>История России</t>
        </is>
      </c>
      <c r="AE853" s="1" t="inlineStr">
        <is>
          <t>офсетная</t>
        </is>
      </c>
      <c r="AG853" s="1" t="n">
        <v>11603290</v>
      </c>
      <c r="AI853" s="1" t="inlineStr">
        <is>
          <t>4901990000</t>
        </is>
      </c>
    </row>
    <row r="854" customFormat="1" s="1">
      <c r="C854" s="1" t="inlineStr">
        <is>
          <t xml:space="preserve">11782550            </t>
        </is>
      </c>
      <c r="D854" s="1" t="inlineStr">
        <is>
          <t>Острые грани истории</t>
        </is>
      </c>
      <c r="E854" s="1" t="inlineStr">
        <is>
          <t>Ветер Возмездия. Токийский Международный военный Трибунал в истории цивилизации. Звягинцев А.Г.</t>
        </is>
      </c>
      <c r="F854" s="13" t="inlineStr">
        <is>
          <t>См.обл.</t>
        </is>
      </c>
      <c r="G854" s="1" t="inlineStr">
        <is>
          <t>Звягинцев А.Г.</t>
        </is>
      </c>
      <c r="H854" s="1" t="inlineStr">
        <is>
          <t>84х108/32</t>
        </is>
      </c>
      <c r="I854" s="1" t="n">
        <v>416</v>
      </c>
      <c r="J854" s="1" t="inlineStr">
        <is>
          <t>РИПОЛ Классик</t>
        </is>
      </c>
      <c r="M854" s="1" t="inlineStr">
        <is>
          <t>2027</t>
        </is>
      </c>
      <c r="N854" s="1" t="inlineStr">
        <is>
          <t>П</t>
        </is>
      </c>
      <c r="O854" s="9" t="n">
        <v>10</v>
      </c>
      <c r="P854" s="1">
        <f>ROUNDUP(1520*(1-$F$3),2)</f>
        <v/>
      </c>
      <c r="Q854" s="1" t="inlineStr">
        <is>
          <t> </t>
        </is>
      </c>
      <c r="R854" s="1" t="inlineStr">
        <is>
          <t>978-5-386-15432-5</t>
        </is>
      </c>
      <c r="S854" s="1" t="inlineStr">
        <is>
          <t>9785386154325</t>
        </is>
      </c>
      <c r="T854" s="9" t="n">
        <v>10</v>
      </c>
      <c r="U854" s="1">
        <f>ROUNDUP(1381.82*(1-$F$3),2)</f>
        <v/>
      </c>
      <c r="V854" s="1" t="n">
        <v>455</v>
      </c>
      <c r="Y854" s="1" t="inlineStr">
        <is>
          <t>Ветер Возмездия. Токийский Международный военный Трибунал в истории цивилизации</t>
        </is>
      </c>
      <c r="Z854" s="1" t="inlineStr">
        <is>
          <t>16+</t>
        </is>
      </c>
      <c r="AA854" s="12" t="n">
        <v>45825</v>
      </c>
      <c r="AB854" s="1" t="inlineStr">
        <is>
          <t>Общественные науки</t>
        </is>
      </c>
      <c r="AC854" s="1" t="inlineStr">
        <is>
          <t>Военное дело. Гражданская защита</t>
        </is>
      </c>
      <c r="AD854" s="1" t="inlineStr">
        <is>
          <t>Военная история. История военных операций. Мемуары военачальников</t>
        </is>
      </c>
      <c r="AE854" s="1" t="inlineStr">
        <is>
          <t>офсетная</t>
        </is>
      </c>
      <c r="AG854" s="1" t="n">
        <v>11782550</v>
      </c>
      <c r="AI854" s="1" t="inlineStr">
        <is>
          <t>4901990000</t>
        </is>
      </c>
    </row>
    <row r="855" customFormat="1" s="1">
      <c r="C855" s="1" t="inlineStr">
        <is>
          <t xml:space="preserve">11603300            </t>
        </is>
      </c>
      <c r="D855" s="1" t="inlineStr">
        <is>
          <t>Острые грани истории</t>
        </is>
      </c>
      <c r="E855" s="1" t="inlineStr">
        <is>
          <t>Заговор прокуроров. Звягинцев А.Г.</t>
        </is>
      </c>
      <c r="F855" s="13" t="inlineStr">
        <is>
          <t>См.обл.</t>
        </is>
      </c>
      <c r="G855" s="1" t="inlineStr">
        <is>
          <t>Звягинцев А.Г.</t>
        </is>
      </c>
      <c r="H855" s="1" t="inlineStr">
        <is>
          <t>60х90/16</t>
        </is>
      </c>
      <c r="I855" s="1" t="n">
        <v>192</v>
      </c>
      <c r="J855" s="1" t="inlineStr">
        <is>
          <t>РИПОЛ Классик</t>
        </is>
      </c>
      <c r="M855" s="1" t="inlineStr">
        <is>
          <t>2025</t>
        </is>
      </c>
      <c r="N855" s="1" t="inlineStr">
        <is>
          <t>П</t>
        </is>
      </c>
      <c r="O855" s="9" t="n">
        <v>10</v>
      </c>
      <c r="P855" s="1">
        <f>ROUNDUP(890*(1-$F$3),2)</f>
        <v/>
      </c>
      <c r="Q855" s="1" t="inlineStr">
        <is>
          <t> </t>
        </is>
      </c>
      <c r="R855" s="1" t="inlineStr">
        <is>
          <t>978-5-386-15365-6</t>
        </is>
      </c>
      <c r="S855" s="1" t="inlineStr">
        <is>
          <t>9785386153656</t>
        </is>
      </c>
      <c r="T855" s="9" t="n">
        <v>10</v>
      </c>
      <c r="U855" s="1">
        <f>ROUNDUP(809.09*(1-$F$3),2)</f>
        <v/>
      </c>
      <c r="V855" s="1" t="n">
        <v>293</v>
      </c>
      <c r="Y855" s="1" t="inlineStr">
        <is>
          <t>Заговор прокуроров</t>
        </is>
      </c>
      <c r="Z855" s="1" t="inlineStr">
        <is>
          <t>16+</t>
        </is>
      </c>
      <c r="AA855" s="12" t="n">
        <v>45653</v>
      </c>
      <c r="AB855" s="1" t="inlineStr">
        <is>
          <t>Гуманитарные науки</t>
        </is>
      </c>
      <c r="AC855" s="1" t="inlineStr">
        <is>
          <t>История</t>
        </is>
      </c>
      <c r="AD855" s="1" t="inlineStr">
        <is>
          <t>История России</t>
        </is>
      </c>
      <c r="AE855" s="1" t="inlineStr">
        <is>
          <t>офсетная</t>
        </is>
      </c>
      <c r="AG855" s="1" t="n">
        <v>11603300</v>
      </c>
      <c r="AI855" s="1" t="inlineStr">
        <is>
          <t>4901990000</t>
        </is>
      </c>
    </row>
    <row r="856" customFormat="1" s="1">
      <c r="C856" s="1" t="inlineStr">
        <is>
          <t xml:space="preserve">11192130            </t>
        </is>
      </c>
      <c r="D856" s="1" t="inlineStr">
        <is>
          <t>Острые грани истории</t>
        </is>
      </c>
      <c r="E856" s="1" t="inlineStr">
        <is>
          <t>Заговор прокуроров. Звягинцев А.Г.</t>
        </is>
      </c>
      <c r="F856" s="13" t="inlineStr">
        <is>
          <t>См.обл.</t>
        </is>
      </c>
      <c r="G856" s="1" t="inlineStr">
        <is>
          <t>Звягинцев А.Г.</t>
        </is>
      </c>
      <c r="H856" s="1" t="inlineStr">
        <is>
          <t>60х90/16</t>
        </is>
      </c>
      <c r="I856" s="1" t="n">
        <v>192</v>
      </c>
      <c r="J856" s="1" t="inlineStr">
        <is>
          <t>РИПОЛ Классик</t>
        </is>
      </c>
      <c r="M856" s="1" t="inlineStr">
        <is>
          <t>2027</t>
        </is>
      </c>
      <c r="N856" s="1" t="inlineStr">
        <is>
          <t>П</t>
        </is>
      </c>
      <c r="O856" s="9" t="n">
        <v>16</v>
      </c>
      <c r="P856" s="1">
        <f>ROUNDUP(970*(1-$F$3),2)</f>
        <v/>
      </c>
      <c r="Q856" s="1" t="inlineStr">
        <is>
          <t> </t>
        </is>
      </c>
      <c r="R856" s="1" t="inlineStr">
        <is>
          <t>978-5-386-15100-3</t>
        </is>
      </c>
      <c r="S856" s="1" t="inlineStr">
        <is>
          <t>9785386151003</t>
        </is>
      </c>
      <c r="T856" s="9" t="n">
        <v>10</v>
      </c>
      <c r="U856" s="1">
        <f>ROUNDUP(881.82*(1-$F$3),2)</f>
        <v/>
      </c>
      <c r="V856" s="1" t="n">
        <v>343</v>
      </c>
      <c r="Y856" s="1" t="inlineStr">
        <is>
          <t>Заговор прокуроров</t>
        </is>
      </c>
      <c r="Z856" s="1" t="inlineStr">
        <is>
          <t>16+</t>
        </is>
      </c>
      <c r="AA856" s="12" t="n">
        <v>45286</v>
      </c>
      <c r="AB856" s="1" t="inlineStr">
        <is>
          <t>Гуманитарные науки</t>
        </is>
      </c>
      <c r="AC856" s="1" t="inlineStr">
        <is>
          <t>История</t>
        </is>
      </c>
      <c r="AD856" s="1" t="inlineStr">
        <is>
          <t>История России</t>
        </is>
      </c>
      <c r="AE856" s="1" t="inlineStr">
        <is>
          <t>офсетная</t>
        </is>
      </c>
      <c r="AG856" s="1" t="n">
        <v>11192130</v>
      </c>
      <c r="AI856" s="1" t="inlineStr">
        <is>
          <t>4901990000</t>
        </is>
      </c>
    </row>
    <row r="857" customFormat="1" s="1">
      <c r="C857" s="1" t="inlineStr">
        <is>
          <t xml:space="preserve">11509570            </t>
        </is>
      </c>
      <c r="D857" s="1" t="inlineStr">
        <is>
          <t>Острые грани истории</t>
        </is>
      </c>
      <c r="E857" s="1" t="inlineStr">
        <is>
          <t>Меч возмездия. Звягинцев А.Г.</t>
        </is>
      </c>
      <c r="F857" s="13" t="inlineStr">
        <is>
          <t>См.обл.</t>
        </is>
      </c>
      <c r="G857" s="1" t="inlineStr">
        <is>
          <t>Звягинцев А.Г.</t>
        </is>
      </c>
      <c r="H857" s="1" t="inlineStr">
        <is>
          <t>84х108/32</t>
        </is>
      </c>
      <c r="I857" s="1" t="n">
        <v>436</v>
      </c>
      <c r="J857" s="1" t="inlineStr">
        <is>
          <t>РИПОЛ Классик</t>
        </is>
      </c>
      <c r="M857" s="1" t="inlineStr">
        <is>
          <t>2027</t>
        </is>
      </c>
      <c r="N857" s="1" t="inlineStr">
        <is>
          <t>П</t>
        </is>
      </c>
      <c r="O857" s="9" t="n">
        <v>4</v>
      </c>
      <c r="P857" s="1">
        <f>ROUNDUP(1670*(1-$F$3),2)</f>
        <v/>
      </c>
      <c r="Q857" s="1" t="inlineStr">
        <is>
          <t> </t>
        </is>
      </c>
      <c r="R857" s="1" t="inlineStr">
        <is>
          <t>978-5-386-15361-8</t>
        </is>
      </c>
      <c r="S857" s="1" t="inlineStr">
        <is>
          <t>9785386153618</t>
        </is>
      </c>
      <c r="T857" s="9" t="n">
        <v>10</v>
      </c>
      <c r="U857" s="1">
        <f>ROUNDUP(1518.18*(1-$F$3),2)</f>
        <v/>
      </c>
      <c r="V857" s="1" t="n">
        <v>415</v>
      </c>
      <c r="Y857" s="1" t="inlineStr">
        <is>
          <t>Меч возмездия</t>
        </is>
      </c>
      <c r="Z857" s="1" t="inlineStr">
        <is>
          <t>16+</t>
        </is>
      </c>
      <c r="AA857" s="12" t="n">
        <v>45587</v>
      </c>
      <c r="AB857" s="1" t="inlineStr">
        <is>
          <t>Гуманитарные науки</t>
        </is>
      </c>
      <c r="AC857" s="1" t="inlineStr">
        <is>
          <t>История</t>
        </is>
      </c>
      <c r="AD857" s="1" t="inlineStr">
        <is>
          <t>История России</t>
        </is>
      </c>
      <c r="AE857" s="1" t="inlineStr">
        <is>
          <t>офсетная</t>
        </is>
      </c>
      <c r="AG857" s="1" t="n">
        <v>11509570</v>
      </c>
      <c r="AI857" s="1" t="inlineStr">
        <is>
          <t>4901990000</t>
        </is>
      </c>
    </row>
    <row r="858" customFormat="1" s="1">
      <c r="C858" s="1" t="inlineStr">
        <is>
          <t xml:space="preserve">11782560            </t>
        </is>
      </c>
      <c r="D858" s="1" t="inlineStr">
        <is>
          <t>Острые грани истории</t>
        </is>
      </c>
      <c r="E858" s="1" t="inlineStr">
        <is>
          <t>Палачи ада. Уроки Хабаровского процесса. Звягинцев А.Г.</t>
        </is>
      </c>
      <c r="F858" s="13" t="inlineStr">
        <is>
          <t>См.обл.</t>
        </is>
      </c>
      <c r="G858" s="1" t="inlineStr">
        <is>
          <t>Звягинцев А.Г.</t>
        </is>
      </c>
      <c r="H858" s="1" t="inlineStr">
        <is>
          <t>84х108/32</t>
        </is>
      </c>
      <c r="I858" s="1" t="n">
        <v>464</v>
      </c>
      <c r="J858" s="1" t="inlineStr">
        <is>
          <t>РИПОЛ Классик</t>
        </is>
      </c>
      <c r="M858" s="1" t="inlineStr">
        <is>
          <t>2025</t>
        </is>
      </c>
      <c r="N858" s="1" t="inlineStr">
        <is>
          <t>П</t>
        </is>
      </c>
      <c r="O858" s="9" t="n">
        <v>5</v>
      </c>
      <c r="P858" s="1">
        <f>ROUNDUP(1560*(1-$F$3),2)</f>
        <v/>
      </c>
      <c r="Q858" s="1" t="inlineStr">
        <is>
          <t> </t>
        </is>
      </c>
      <c r="R858" s="1" t="inlineStr">
        <is>
          <t>978-5-386-15431-8</t>
        </is>
      </c>
      <c r="S858" s="1" t="inlineStr">
        <is>
          <t>9785386154318</t>
        </is>
      </c>
      <c r="T858" s="9" t="n">
        <v>10</v>
      </c>
      <c r="U858" s="1">
        <f>ROUNDUP(1418.18*(1-$F$3),2)</f>
        <v/>
      </c>
      <c r="V858" s="1" t="n">
        <v>498</v>
      </c>
      <c r="Y858" s="1" t="inlineStr">
        <is>
          <t>Палачи ада. Уроки Хабаровского процесса</t>
        </is>
      </c>
      <c r="Z858" s="1" t="inlineStr">
        <is>
          <t>16+</t>
        </is>
      </c>
      <c r="AA858" s="12" t="n">
        <v>45825</v>
      </c>
      <c r="AB858" s="1" t="inlineStr">
        <is>
          <t>Общественные науки</t>
        </is>
      </c>
      <c r="AC858" s="1" t="inlineStr">
        <is>
          <t>Военное дело. Гражданская защита</t>
        </is>
      </c>
      <c r="AD858" s="1" t="inlineStr">
        <is>
          <t>Военная история. История военных операций. Мемуары военачальников</t>
        </is>
      </c>
      <c r="AE858" s="1" t="inlineStr">
        <is>
          <t>офсетная</t>
        </is>
      </c>
      <c r="AG858" s="1" t="n">
        <v>11782560</v>
      </c>
      <c r="AI858" s="1" t="inlineStr">
        <is>
          <t>4901990000</t>
        </is>
      </c>
      <c r="AJ858" s="1" t="inlineStr">
        <is>
          <t>Зпв</t>
        </is>
      </c>
    </row>
    <row r="859" customFormat="1" s="1">
      <c r="C859" s="1" t="inlineStr">
        <is>
          <t xml:space="preserve">11603310            </t>
        </is>
      </c>
      <c r="D859" s="1" t="inlineStr">
        <is>
          <t>Острые грани истории</t>
        </is>
      </c>
      <c r="E859" s="1" t="inlineStr">
        <is>
          <t>Прокурорские тайны. Улики времени. Звягинцев А.Г.</t>
        </is>
      </c>
      <c r="F859" s="13" t="inlineStr">
        <is>
          <t>См.обл.</t>
        </is>
      </c>
      <c r="G859" s="1" t="inlineStr">
        <is>
          <t>Звягинцев А.Г.</t>
        </is>
      </c>
      <c r="H859" s="1" t="inlineStr">
        <is>
          <t>84х108/32</t>
        </is>
      </c>
      <c r="I859" s="1" t="n">
        <v>266</v>
      </c>
      <c r="J859" s="1" t="inlineStr">
        <is>
          <t>РИПОЛ Классик</t>
        </is>
      </c>
      <c r="M859" s="1" t="inlineStr">
        <is>
          <t>2025</t>
        </is>
      </c>
      <c r="N859" s="1" t="inlineStr">
        <is>
          <t>П</t>
        </is>
      </c>
      <c r="O859" s="9" t="n">
        <v>10</v>
      </c>
      <c r="P859" s="1">
        <f>ROUNDUP(1040*(1-$F$3),2)</f>
        <v/>
      </c>
      <c r="Q859" s="1" t="inlineStr">
        <is>
          <t> </t>
        </is>
      </c>
      <c r="R859" s="1" t="inlineStr">
        <is>
          <t>978-5-386-15364-9</t>
        </is>
      </c>
      <c r="S859" s="1" t="inlineStr">
        <is>
          <t>9785386153649</t>
        </is>
      </c>
      <c r="T859" s="9" t="n">
        <v>10</v>
      </c>
      <c r="U859" s="1">
        <f>ROUNDUP(945.45*(1-$F$3),2)</f>
        <v/>
      </c>
      <c r="V859" s="1" t="n">
        <v>369</v>
      </c>
      <c r="Y859" s="1" t="inlineStr">
        <is>
          <t>Прокурорские тайны. Улики времени</t>
        </is>
      </c>
      <c r="Z859" s="1" t="inlineStr">
        <is>
          <t>16+</t>
        </is>
      </c>
      <c r="AA859" s="12" t="n">
        <v>45654</v>
      </c>
      <c r="AB859" s="1" t="inlineStr">
        <is>
          <t>Гуманитарные науки</t>
        </is>
      </c>
      <c r="AC859" s="1" t="inlineStr">
        <is>
          <t>История</t>
        </is>
      </c>
      <c r="AD859" s="1" t="inlineStr">
        <is>
          <t>История России</t>
        </is>
      </c>
      <c r="AE859" s="1" t="inlineStr">
        <is>
          <t>офсетная</t>
        </is>
      </c>
      <c r="AG859" s="1" t="n">
        <v>11603310</v>
      </c>
      <c r="AI859" s="1" t="inlineStr">
        <is>
          <t>4901990000</t>
        </is>
      </c>
    </row>
    <row r="860" customFormat="1" s="1">
      <c r="C860" s="1" t="inlineStr">
        <is>
          <t xml:space="preserve">11375770            </t>
        </is>
      </c>
      <c r="D860" s="1" t="inlineStr">
        <is>
          <t>Острые грани истории</t>
        </is>
      </c>
      <c r="E860" s="1" t="inlineStr">
        <is>
          <t>Прокурорские тайны. Улики времени. Звягинцев А.Г.</t>
        </is>
      </c>
      <c r="F860" s="13" t="inlineStr">
        <is>
          <t>См.обл.</t>
        </is>
      </c>
      <c r="G860" s="1" t="inlineStr">
        <is>
          <t>Звягинцев А.Г.</t>
        </is>
      </c>
      <c r="H860" s="1" t="inlineStr">
        <is>
          <t>60х90/16</t>
        </is>
      </c>
      <c r="I860" s="1" t="n">
        <v>266</v>
      </c>
      <c r="J860" s="1" t="inlineStr">
        <is>
          <t>РИПОЛ Классик</t>
        </is>
      </c>
      <c r="M860" s="1" t="inlineStr">
        <is>
          <t>2027</t>
        </is>
      </c>
      <c r="N860" s="1" t="inlineStr">
        <is>
          <t>П</t>
        </is>
      </c>
      <c r="O860" s="9" t="n">
        <v>12</v>
      </c>
      <c r="P860" s="1">
        <f>ROUNDUP(1045*(1-$F$3),2)</f>
        <v/>
      </c>
      <c r="Q860" s="1" t="inlineStr">
        <is>
          <t> </t>
        </is>
      </c>
      <c r="R860" s="1" t="inlineStr">
        <is>
          <t>978-5-386-15200-0</t>
        </is>
      </c>
      <c r="S860" s="1" t="inlineStr">
        <is>
          <t>9785386152000</t>
        </is>
      </c>
      <c r="T860" s="9" t="n">
        <v>10</v>
      </c>
      <c r="U860" s="1">
        <f>ROUNDUP(950*(1-$F$3),2)</f>
        <v/>
      </c>
      <c r="V860" s="1" t="n">
        <v>444</v>
      </c>
      <c r="Y860" s="1" t="inlineStr">
        <is>
          <t>Прокурорские тайны. Улики времени</t>
        </is>
      </c>
      <c r="Z860" s="1" t="inlineStr">
        <is>
          <t>16+</t>
        </is>
      </c>
      <c r="AA860" s="12" t="n">
        <v>45448</v>
      </c>
      <c r="AB860" s="1" t="inlineStr">
        <is>
          <t>Гуманитарные науки</t>
        </is>
      </c>
      <c r="AC860" s="1" t="inlineStr">
        <is>
          <t>История</t>
        </is>
      </c>
      <c r="AD860" s="1" t="inlineStr">
        <is>
          <t>История России</t>
        </is>
      </c>
      <c r="AE860" s="1" t="inlineStr">
        <is>
          <t>офсетная</t>
        </is>
      </c>
      <c r="AG860" s="1" t="n">
        <v>11375770</v>
      </c>
      <c r="AI860" s="1" t="inlineStr">
        <is>
          <t>4901990000</t>
        </is>
      </c>
    </row>
    <row r="861" customFormat="1" s="1">
      <c r="C861" s="1" t="inlineStr">
        <is>
          <t xml:space="preserve">11612620            </t>
        </is>
      </c>
      <c r="D861" s="1" t="inlineStr">
        <is>
          <t>Острые грани истории</t>
        </is>
      </c>
      <c r="E861" s="1" t="inlineStr">
        <is>
          <t>Руденко - патриарх советской прокуратуры. Главный обвинитель от СССР на Нюрнбергском процессе. Звягинцев А.Г.</t>
        </is>
      </c>
      <c r="F861" s="13" t="inlineStr">
        <is>
          <t>См.обл.</t>
        </is>
      </c>
      <c r="G861" s="1" t="inlineStr">
        <is>
          <t>Звягинцев А.Г.</t>
        </is>
      </c>
      <c r="H861" s="1" t="inlineStr">
        <is>
          <t>84х108/32</t>
        </is>
      </c>
      <c r="I861" s="1" t="n">
        <v>694</v>
      </c>
      <c r="J861" s="1" t="inlineStr">
        <is>
          <t>РИПОЛ Классик</t>
        </is>
      </c>
      <c r="M861" s="1" t="inlineStr">
        <is>
          <t>2027</t>
        </is>
      </c>
      <c r="N861" s="1" t="inlineStr">
        <is>
          <t>П</t>
        </is>
      </c>
      <c r="O861" s="9" t="n">
        <v>6</v>
      </c>
      <c r="P861" s="1">
        <f>ROUNDUP(1880*(1-$F$3),2)</f>
        <v/>
      </c>
      <c r="Q861" s="1" t="inlineStr">
        <is>
          <t> </t>
        </is>
      </c>
      <c r="R861" s="1" t="inlineStr">
        <is>
          <t>978-5-386-15363-2</t>
        </is>
      </c>
      <c r="S861" s="1" t="inlineStr">
        <is>
          <t>9785386153632</t>
        </is>
      </c>
      <c r="T861" s="9" t="n">
        <v>10</v>
      </c>
      <c r="U861" s="1">
        <f>ROUNDUP(1709.09*(1-$F$3),2)</f>
        <v/>
      </c>
      <c r="V861" s="1" t="n">
        <v>687</v>
      </c>
      <c r="Y861" s="1" t="inlineStr">
        <is>
          <t>Руденко - патриарх советской прокуратуры. Главный обвинитель от СССР на Нюрнбергском процессе</t>
        </is>
      </c>
      <c r="Z861" s="1" t="inlineStr">
        <is>
          <t>16+</t>
        </is>
      </c>
      <c r="AA861" s="12" t="n">
        <v>45672</v>
      </c>
      <c r="AB861" s="1" t="inlineStr">
        <is>
          <t>Право. Юридические науки</t>
        </is>
      </c>
      <c r="AC861" s="1" t="inlineStr">
        <is>
          <t>Правоохранительные органы</t>
        </is>
      </c>
      <c r="AD861" s="1" t="inlineStr">
        <is>
          <t>Прокуратура</t>
        </is>
      </c>
      <c r="AE861" s="1" t="inlineStr">
        <is>
          <t>офсетная</t>
        </is>
      </c>
      <c r="AG861" s="1" t="n">
        <v>11612620</v>
      </c>
      <c r="AI861" s="1" t="inlineStr">
        <is>
          <t>4901990000</t>
        </is>
      </c>
    </row>
    <row r="862" customFormat="1" s="1">
      <c r="C862" s="1" t="inlineStr">
        <is>
          <t xml:space="preserve">7586720             </t>
        </is>
      </c>
      <c r="D862" s="1" t="inlineStr">
        <is>
          <t>Отдельное издание</t>
        </is>
      </c>
      <c r="E862" s="1" t="inlineStr">
        <is>
          <t>Жажда жизни. Шацкая Н.А.</t>
        </is>
      </c>
      <c r="F862" s="13" t="inlineStr">
        <is>
          <t>См.обл.</t>
        </is>
      </c>
      <c r="G862" s="1" t="inlineStr">
        <is>
          <t>Шацкая Н.А.</t>
        </is>
      </c>
      <c r="H862" s="1" t="inlineStr">
        <is>
          <t>108х90/16</t>
        </is>
      </c>
      <c r="I862" s="1" t="n">
        <v>288</v>
      </c>
      <c r="J862" s="1" t="inlineStr">
        <is>
          <t>РИПОЛ Классик</t>
        </is>
      </c>
      <c r="M862" s="1" t="inlineStr">
        <is>
          <t>2016</t>
        </is>
      </c>
      <c r="N862" s="1" t="inlineStr">
        <is>
          <t>П</t>
        </is>
      </c>
      <c r="O862" s="9" t="n">
        <v>11</v>
      </c>
      <c r="P862" s="1">
        <f>ROUNDUP(2850*(1-$F$3),2)</f>
        <v/>
      </c>
      <c r="Q862" s="1" t="inlineStr">
        <is>
          <t> </t>
        </is>
      </c>
      <c r="R862" s="1" t="inlineStr">
        <is>
          <t>978-5-386-09355-6</t>
        </is>
      </c>
      <c r="S862" s="1" t="inlineStr">
        <is>
          <t>9785386093556</t>
        </is>
      </c>
      <c r="T862" s="9" t="n">
        <v>10</v>
      </c>
      <c r="U862" s="1">
        <f>ROUNDUP(2590.91*(1-$F$3),2)</f>
        <v/>
      </c>
      <c r="V862" s="1" t="n">
        <v>1381</v>
      </c>
      <c r="Y862" s="1" t="inlineStr">
        <is>
          <t>Жажда жизни</t>
        </is>
      </c>
      <c r="Z862" s="1" t="inlineStr">
        <is>
          <t>16+</t>
        </is>
      </c>
      <c r="AA862" s="12" t="n">
        <v>42494</v>
      </c>
      <c r="AB862" s="1" t="inlineStr">
        <is>
          <t>Художественно-документальная проза</t>
        </is>
      </c>
      <c r="AC862" s="1" t="inlineStr">
        <is>
          <t>Публицистика</t>
        </is>
      </c>
      <c r="AD862" s="1" t="inlineStr">
        <is>
          <t>Рассказы путешественников и натуралистов</t>
        </is>
      </c>
      <c r="AE862" s="1" t="inlineStr">
        <is>
          <t> </t>
        </is>
      </c>
      <c r="AG862" s="1" t="n">
        <v>7586720</v>
      </c>
      <c r="AI862" s="1" t="inlineStr">
        <is>
          <t>4901990000</t>
        </is>
      </c>
    </row>
    <row r="863" customFormat="1" s="1">
      <c r="C863" s="1" t="inlineStr">
        <is>
          <t xml:space="preserve">8018220             </t>
        </is>
      </c>
      <c r="D863" s="1" t="inlineStr">
        <is>
          <t>Отдельное издание</t>
        </is>
      </c>
      <c r="E863" s="1" t="inlineStr">
        <is>
          <t>Золотые тротуары. Андреев И.Е.</t>
        </is>
      </c>
      <c r="F863" s="13" t="inlineStr">
        <is>
          <t>См.обл.</t>
        </is>
      </c>
      <c r="G863" s="1" t="inlineStr">
        <is>
          <t>Андреев И.Е.</t>
        </is>
      </c>
      <c r="H863" s="1" t="inlineStr">
        <is>
          <t>84х108/32</t>
        </is>
      </c>
      <c r="I863" s="1" t="n">
        <v>352</v>
      </c>
      <c r="J863" s="1" t="inlineStr">
        <is>
          <t>РИПОЛ Классик</t>
        </is>
      </c>
      <c r="M863" s="1" t="inlineStr">
        <is>
          <t>2017</t>
        </is>
      </c>
      <c r="N863" s="1" t="inlineStr">
        <is>
          <t>П</t>
        </is>
      </c>
      <c r="O863" s="9" t="n">
        <v>12</v>
      </c>
      <c r="P863" s="1">
        <f>ROUNDUP(873.5*(1-$F$3),2)</f>
        <v/>
      </c>
      <c r="Q863" s="1" t="inlineStr">
        <is>
          <t> </t>
        </is>
      </c>
      <c r="R863" s="1" t="inlineStr">
        <is>
          <t>978-5-386-09862-9</t>
        </is>
      </c>
      <c r="S863" s="1" t="inlineStr">
        <is>
          <t>9785386098629</t>
        </is>
      </c>
      <c r="T863" s="9" t="n">
        <v>10</v>
      </c>
      <c r="U863" s="1">
        <f>ROUNDUP(794.09*(1-$F$3),2)</f>
        <v/>
      </c>
      <c r="V863" s="1" t="n">
        <v>395</v>
      </c>
      <c r="Y863" s="1" t="inlineStr">
        <is>
          <t>Золотые тротуары</t>
        </is>
      </c>
      <c r="Z863" s="1" t="inlineStr">
        <is>
          <t>16+</t>
        </is>
      </c>
      <c r="AA863" s="12" t="n">
        <v>42775</v>
      </c>
      <c r="AB863" s="1" t="inlineStr">
        <is>
          <t>Художественная литература</t>
        </is>
      </c>
      <c r="AC863" s="1" t="inlineStr">
        <is>
          <t>Русская литература</t>
        </is>
      </c>
      <c r="AD863" s="1" t="inlineStr">
        <is>
          <t>Современная литература</t>
        </is>
      </c>
      <c r="AE863" s="1" t="inlineStr">
        <is>
          <t> </t>
        </is>
      </c>
      <c r="AG863" s="1" t="n">
        <v>8018220</v>
      </c>
      <c r="AI863" s="1" t="inlineStr">
        <is>
          <t>4901990000</t>
        </is>
      </c>
    </row>
    <row r="864" customFormat="1" s="1">
      <c r="C864" s="1" t="inlineStr">
        <is>
          <t xml:space="preserve">9479310             </t>
        </is>
      </c>
      <c r="D864" s="1" t="inlineStr">
        <is>
          <t>Отдельное издание</t>
        </is>
      </c>
      <c r="E864" s="1" t="inlineStr">
        <is>
          <t>Искра в сердце: стихи. Лайдинен Н.</t>
        </is>
      </c>
      <c r="F864" s="13" t="inlineStr">
        <is>
          <t>См.обл.</t>
        </is>
      </c>
      <c r="G864" s="1" t="inlineStr">
        <is>
          <t>Лайдинен Н.</t>
        </is>
      </c>
      <c r="H864" s="1" t="inlineStr">
        <is>
          <t>84х108/32</t>
        </is>
      </c>
      <c r="I864" s="1" t="n">
        <v>244</v>
      </c>
      <c r="J864" s="1" t="inlineStr">
        <is>
          <t>РИПОЛ Классик</t>
        </is>
      </c>
      <c r="M864" s="1" t="inlineStr">
        <is>
          <t>2020</t>
        </is>
      </c>
      <c r="N864" s="1" t="inlineStr">
        <is>
          <t>П</t>
        </is>
      </c>
      <c r="O864" s="9" t="n">
        <v>14</v>
      </c>
      <c r="P864" s="1">
        <f>ROUNDUP(1030*(1-$F$3),2)</f>
        <v/>
      </c>
      <c r="Q864" s="1" t="inlineStr">
        <is>
          <t> </t>
        </is>
      </c>
      <c r="R864" s="1" t="inlineStr">
        <is>
          <t>978-5-386-13760-1</t>
        </is>
      </c>
      <c r="S864" s="1" t="inlineStr">
        <is>
          <t>9785386137601</t>
        </is>
      </c>
      <c r="T864" s="9" t="n">
        <v>10</v>
      </c>
      <c r="U864" s="1">
        <f>ROUNDUP(936.36*(1-$F$3),2)</f>
        <v/>
      </c>
      <c r="V864" s="1" t="n">
        <v>302</v>
      </c>
      <c r="Y864" s="1" t="inlineStr">
        <is>
          <t>Искра в сердце: стихи</t>
        </is>
      </c>
      <c r="Z864" s="1" t="inlineStr">
        <is>
          <t>16+</t>
        </is>
      </c>
      <c r="AA864" s="12" t="n">
        <v>44060</v>
      </c>
      <c r="AB864" s="1" t="inlineStr">
        <is>
          <t>Художественная литература</t>
        </is>
      </c>
      <c r="AC864" s="1" t="inlineStr">
        <is>
          <t>Поэзия</t>
        </is>
      </c>
      <c r="AD864" s="1" t="inlineStr">
        <is>
          <t>Русская поэзия</t>
        </is>
      </c>
      <c r="AE864" s="1" t="inlineStr">
        <is>
          <t>офсетная</t>
        </is>
      </c>
      <c r="AG864" s="1" t="n">
        <v>9479310</v>
      </c>
      <c r="AI864" s="1" t="inlineStr">
        <is>
          <t>4901990000</t>
        </is>
      </c>
    </row>
    <row r="865" customFormat="1" s="1">
      <c r="C865" s="1" t="inlineStr">
        <is>
          <t xml:space="preserve">8652020             </t>
        </is>
      </c>
      <c r="D865" s="1" t="inlineStr">
        <is>
          <t>Отдельное издание</t>
        </is>
      </c>
      <c r="E865" s="1" t="inlineStr">
        <is>
          <t>Многоголосие. Лайдинен Н.</t>
        </is>
      </c>
      <c r="F865" s="13" t="inlineStr">
        <is>
          <t>См.обл.</t>
        </is>
      </c>
      <c r="G865" s="1" t="inlineStr">
        <is>
          <t>Лайдинен Н.</t>
        </is>
      </c>
      <c r="H865" s="1" t="inlineStr">
        <is>
          <t>84х108/32</t>
        </is>
      </c>
      <c r="I865" s="1" t="n">
        <v>250</v>
      </c>
      <c r="J865" s="1" t="inlineStr">
        <is>
          <t>РИПОЛ Классик</t>
        </is>
      </c>
      <c r="M865" s="1" t="inlineStr">
        <is>
          <t>2018</t>
        </is>
      </c>
      <c r="N865" s="1" t="inlineStr">
        <is>
          <t>О</t>
        </is>
      </c>
      <c r="O865" s="9" t="n">
        <v>16</v>
      </c>
      <c r="P865" s="1">
        <f>ROUNDUP(1030.5*(1-$F$3),2)</f>
        <v/>
      </c>
      <c r="Q865" s="1" t="inlineStr">
        <is>
          <t> </t>
        </is>
      </c>
      <c r="R865" s="1" t="inlineStr">
        <is>
          <t>978-5-386-10737-6</t>
        </is>
      </c>
      <c r="S865" s="1" t="inlineStr">
        <is>
          <t>9785386107376</t>
        </is>
      </c>
      <c r="T865" s="9" t="n">
        <v>10</v>
      </c>
      <c r="U865" s="1">
        <f>ROUNDUP(936.82*(1-$F$3),2)</f>
        <v/>
      </c>
      <c r="V865" s="1" t="n">
        <v>231</v>
      </c>
      <c r="Y865" s="1" t="inlineStr">
        <is>
          <t>Многоголосие</t>
        </is>
      </c>
      <c r="Z865" s="1" t="inlineStr">
        <is>
          <t>16+</t>
        </is>
      </c>
      <c r="AA865" s="12" t="n">
        <v>43255</v>
      </c>
      <c r="AB865" s="1" t="inlineStr">
        <is>
          <t>Художественная литература</t>
        </is>
      </c>
      <c r="AC865" s="1" t="inlineStr">
        <is>
          <t>Поэзия</t>
        </is>
      </c>
      <c r="AD865" s="1" t="inlineStr">
        <is>
          <t>Русская поэзия</t>
        </is>
      </c>
      <c r="AE865" s="1" t="inlineStr">
        <is>
          <t>офсетная</t>
        </is>
      </c>
      <c r="AG865" s="1" t="n">
        <v>8652020</v>
      </c>
      <c r="AI865" s="1" t="inlineStr">
        <is>
          <t>4901990000</t>
        </is>
      </c>
    </row>
    <row r="866" customFormat="1" s="1">
      <c r="C866" s="1" t="inlineStr">
        <is>
          <t xml:space="preserve">8716530             </t>
        </is>
      </c>
      <c r="D866" s="1" t="inlineStr">
        <is>
          <t>Отдельное издание</t>
        </is>
      </c>
      <c r="E866" s="1" t="inlineStr">
        <is>
          <t>Река жизни: роман. Пилипцева Т.</t>
        </is>
      </c>
      <c r="F866" s="13" t="inlineStr">
        <is>
          <t>См.обл.</t>
        </is>
      </c>
      <c r="G866" s="1" t="inlineStr">
        <is>
          <t>Пилипцева Т.</t>
        </is>
      </c>
      <c r="H866" s="1" t="inlineStr">
        <is>
          <t>60х90/16</t>
        </is>
      </c>
      <c r="I866" s="1" t="n">
        <v>296</v>
      </c>
      <c r="J866" s="1" t="inlineStr">
        <is>
          <t>РИПОЛ Классик</t>
        </is>
      </c>
      <c r="M866" s="1" t="inlineStr">
        <is>
          <t>2018</t>
        </is>
      </c>
      <c r="N866" s="1" t="inlineStr">
        <is>
          <t>П</t>
        </is>
      </c>
      <c r="O866" s="9" t="n">
        <v>10</v>
      </c>
      <c r="P866" s="1">
        <f>ROUNDUP(789.6*(1-$F$3),2)</f>
        <v/>
      </c>
      <c r="Q866" s="1" t="inlineStr">
        <is>
          <t> </t>
        </is>
      </c>
      <c r="R866" s="1" t="inlineStr">
        <is>
          <t>978-5-386-12138-9</t>
        </is>
      </c>
      <c r="S866" s="1" t="inlineStr">
        <is>
          <t>9785386121389</t>
        </is>
      </c>
      <c r="T866" s="9" t="n">
        <v>10</v>
      </c>
      <c r="U866" s="1">
        <f>ROUNDUP(717.82*(1-$F$3),2)</f>
        <v/>
      </c>
      <c r="V866" s="1" t="n">
        <v>414</v>
      </c>
      <c r="Y866" s="1" t="inlineStr">
        <is>
          <t>Река жизни: роман</t>
        </is>
      </c>
      <c r="Z866" s="1" t="inlineStr">
        <is>
          <t>16+</t>
        </is>
      </c>
      <c r="AA866" s="12" t="n">
        <v>43335</v>
      </c>
      <c r="AB866" s="1" t="inlineStr">
        <is>
          <t>Художественная литература</t>
        </is>
      </c>
      <c r="AC866" s="1" t="inlineStr">
        <is>
          <t>Русская литература</t>
        </is>
      </c>
      <c r="AD866" s="1" t="inlineStr">
        <is>
          <t>Современная литература</t>
        </is>
      </c>
      <c r="AE866" s="1" t="inlineStr">
        <is>
          <t>офсетная</t>
        </is>
      </c>
      <c r="AG866" s="1" t="n">
        <v>8716530</v>
      </c>
      <c r="AI866" s="1" t="inlineStr">
        <is>
          <t>4901990000</t>
        </is>
      </c>
    </row>
    <row r="867" customFormat="1" s="1">
      <c r="C867" s="1" t="inlineStr">
        <is>
          <t xml:space="preserve">8462600             </t>
        </is>
      </c>
      <c r="D867" s="1" t="inlineStr">
        <is>
          <t>Отдельное издание</t>
        </is>
      </c>
      <c r="E867" s="1" t="inlineStr">
        <is>
          <t>Странники терпенья. Алеников В.М.</t>
        </is>
      </c>
      <c r="F867" s="13" t="inlineStr">
        <is>
          <t>См.обл.</t>
        </is>
      </c>
      <c r="G867" s="1" t="inlineStr">
        <is>
          <t>Алеников В.М.</t>
        </is>
      </c>
      <c r="H867" s="1" t="inlineStr">
        <is>
          <t>84х108/32</t>
        </is>
      </c>
      <c r="I867" s="1" t="n">
        <v>452</v>
      </c>
      <c r="J867" s="1" t="inlineStr">
        <is>
          <t>РИПОЛ Классик</t>
        </is>
      </c>
      <c r="M867" s="1" t="inlineStr">
        <is>
          <t>2018</t>
        </is>
      </c>
      <c r="N867" s="1" t="inlineStr">
        <is>
          <t>П</t>
        </is>
      </c>
      <c r="O867" s="9" t="n">
        <v>10</v>
      </c>
      <c r="P867" s="1">
        <f>ROUNDUP(963.2*(1-$F$3),2)</f>
        <v/>
      </c>
      <c r="Q867" s="1" t="inlineStr">
        <is>
          <t> </t>
        </is>
      </c>
      <c r="R867" s="1" t="inlineStr">
        <is>
          <t>978-5-386-10534-1</t>
        </is>
      </c>
      <c r="S867" s="1" t="inlineStr">
        <is>
          <t>9785386105341</t>
        </is>
      </c>
      <c r="T867" s="9" t="n">
        <v>10</v>
      </c>
      <c r="U867" s="1">
        <f>ROUNDUP(875.64*(1-$F$3),2)</f>
        <v/>
      </c>
      <c r="V867" s="1" t="n">
        <v>493</v>
      </c>
      <c r="Y867" s="1" t="inlineStr">
        <is>
          <t>Странники терпенья</t>
        </is>
      </c>
      <c r="Z867" s="1" t="inlineStr">
        <is>
          <t>16+</t>
        </is>
      </c>
      <c r="AA867" s="12" t="n">
        <v>43136</v>
      </c>
      <c r="AB867" s="1" t="inlineStr">
        <is>
          <t>Художественная литература</t>
        </is>
      </c>
      <c r="AC867" s="1" t="inlineStr">
        <is>
          <t>Русская литература</t>
        </is>
      </c>
      <c r="AD867" s="1" t="inlineStr">
        <is>
          <t>Современная литература</t>
        </is>
      </c>
      <c r="AE867" s="1" t="inlineStr">
        <is>
          <t>офсетная</t>
        </is>
      </c>
      <c r="AG867" s="1" t="n">
        <v>8462600</v>
      </c>
      <c r="AI867" s="1" t="inlineStr">
        <is>
          <t>4901990000</t>
        </is>
      </c>
    </row>
    <row r="868" customFormat="1" s="1">
      <c r="C868" s="1" t="inlineStr">
        <is>
          <t xml:space="preserve">8902090             </t>
        </is>
      </c>
      <c r="D868" s="1" t="inlineStr">
        <is>
          <t>Отдельное издание</t>
        </is>
      </c>
      <c r="E868" s="1" t="inlineStr">
        <is>
          <t>Странники терпенья: роман. Алеников В.М.</t>
        </is>
      </c>
      <c r="F868" s="13" t="inlineStr">
        <is>
          <t>См.обл.</t>
        </is>
      </c>
      <c r="G868" s="1" t="inlineStr">
        <is>
          <t>Алеников В.М.</t>
        </is>
      </c>
      <c r="H868" s="1" t="inlineStr">
        <is>
          <t>84х108/32</t>
        </is>
      </c>
      <c r="I868" s="1" t="n">
        <v>446</v>
      </c>
      <c r="J868" s="1" t="inlineStr">
        <is>
          <t>РИПОЛ Классик</t>
        </is>
      </c>
      <c r="M868" s="1" t="inlineStr">
        <is>
          <t>2019</t>
        </is>
      </c>
      <c r="N868" s="1" t="inlineStr">
        <is>
          <t>П</t>
        </is>
      </c>
      <c r="O868" s="9" t="n">
        <v>10</v>
      </c>
      <c r="P868" s="1">
        <f>ROUNDUP(1178*(1-$F$3),2)</f>
        <v/>
      </c>
      <c r="Q868" s="1" t="inlineStr">
        <is>
          <t> </t>
        </is>
      </c>
      <c r="R868" s="1" t="inlineStr">
        <is>
          <t>978-5-386-12382-6</t>
        </is>
      </c>
      <c r="S868" s="1" t="inlineStr">
        <is>
          <t>9785386123826</t>
        </is>
      </c>
      <c r="T868" s="9" t="n">
        <v>10</v>
      </c>
      <c r="U868" s="1">
        <f>ROUNDUP(1070.91*(1-$F$3),2)</f>
        <v/>
      </c>
      <c r="V868" s="1" t="n">
        <v>487</v>
      </c>
      <c r="Y868" s="1" t="inlineStr">
        <is>
          <t>Странники терпенья: роман</t>
        </is>
      </c>
      <c r="Z868" s="1" t="inlineStr">
        <is>
          <t>18+</t>
        </is>
      </c>
      <c r="AA868" s="12" t="n">
        <v>43486</v>
      </c>
      <c r="AB868" s="1" t="inlineStr">
        <is>
          <t>Художественная литература</t>
        </is>
      </c>
      <c r="AC868" s="1" t="inlineStr">
        <is>
          <t>Русская литература</t>
        </is>
      </c>
      <c r="AD868" s="1" t="inlineStr">
        <is>
          <t>Современная литература</t>
        </is>
      </c>
      <c r="AE868" s="1" t="inlineStr">
        <is>
          <t>офсетная</t>
        </is>
      </c>
      <c r="AG868" s="1" t="n">
        <v>8902090</v>
      </c>
      <c r="AI868" s="1" t="inlineStr">
        <is>
          <t>4901990000</t>
        </is>
      </c>
    </row>
    <row r="869" customFormat="1" s="1">
      <c r="C869" s="1" t="inlineStr">
        <is>
          <t xml:space="preserve">9688010             </t>
        </is>
      </c>
      <c r="D869" s="1" t="inlineStr">
        <is>
          <t>Отдельное издание</t>
        </is>
      </c>
      <c r="E869" s="1" t="inlineStr">
        <is>
          <t>Энциклопедия эрудита. В вопросах и ответах. Сост. Кондрашов А.П.</t>
        </is>
      </c>
      <c r="F869" s="13" t="inlineStr">
        <is>
          <t>См.обл.</t>
        </is>
      </c>
      <c r="G869" s="1" t="inlineStr">
        <is>
          <t>Сост. Кондрашов А.П.</t>
        </is>
      </c>
      <c r="H869" s="1" t="inlineStr">
        <is>
          <t>84х108/32</t>
        </is>
      </c>
      <c r="I869" s="1" t="n">
        <v>544</v>
      </c>
      <c r="J869" s="1" t="inlineStr">
        <is>
          <t>РИПОЛ Классик</t>
        </is>
      </c>
      <c r="M869" s="1" t="inlineStr">
        <is>
          <t>2024</t>
        </is>
      </c>
      <c r="N869" s="1" t="inlineStr">
        <is>
          <t>П</t>
        </is>
      </c>
      <c r="O869" s="9" t="n">
        <v>8</v>
      </c>
      <c r="P869" s="1">
        <f>ROUNDUP(956.2*(1-$F$3),2)</f>
        <v/>
      </c>
      <c r="Q869" s="1" t="inlineStr">
        <is>
          <t> </t>
        </is>
      </c>
      <c r="R869" s="1" t="inlineStr">
        <is>
          <t>978-5-386-14134-9</t>
        </is>
      </c>
      <c r="S869" s="1" t="inlineStr">
        <is>
          <t>9785386141349</t>
        </is>
      </c>
      <c r="T869" s="9" t="n">
        <v>10</v>
      </c>
      <c r="U869" s="1">
        <f>ROUNDUP(869.27*(1-$F$3),2)</f>
        <v/>
      </c>
      <c r="V869" s="1" t="n">
        <v>399</v>
      </c>
      <c r="Y869" s="1" t="inlineStr">
        <is>
          <t>Энциклопедия эрудита. В вопросах и ответах</t>
        </is>
      </c>
      <c r="Z869" s="1" t="inlineStr">
        <is>
          <t>12+</t>
        </is>
      </c>
      <c r="AA869" s="12" t="n">
        <v>44287</v>
      </c>
      <c r="AB869" s="1" t="inlineStr">
        <is>
          <t>Справочные издания</t>
        </is>
      </c>
      <c r="AC869" s="1" t="inlineStr">
        <is>
          <t>Универсальные словари и энциклопедии</t>
        </is>
      </c>
      <c r="AD869" s="1" t="inlineStr">
        <is>
          <t>Универсальные словари и энциклопедии</t>
        </is>
      </c>
      <c r="AE869" s="1" t="inlineStr">
        <is>
          <t>газетная</t>
        </is>
      </c>
      <c r="AG869" s="1" t="n">
        <v>9688010</v>
      </c>
      <c r="AI869" s="1" t="inlineStr">
        <is>
          <t>4901910000</t>
        </is>
      </c>
    </row>
    <row r="870" customFormat="1" s="1">
      <c r="C870" s="1" t="inlineStr">
        <is>
          <t xml:space="preserve">8668990             </t>
        </is>
      </c>
      <c r="D870" s="1" t="inlineStr">
        <is>
          <t>Отдельные бестселлеры</t>
        </is>
      </c>
      <c r="E870" s="1" t="inlineStr">
        <is>
          <t>2084: Конец Света: роман. Сансаль Б.</t>
        </is>
      </c>
      <c r="F870" s="13" t="inlineStr">
        <is>
          <t>См.обл.</t>
        </is>
      </c>
      <c r="G870" s="1" t="inlineStr">
        <is>
          <t>Сансаль Б.</t>
        </is>
      </c>
      <c r="H870" s="1" t="inlineStr">
        <is>
          <t>84х108/32</t>
        </is>
      </c>
      <c r="I870" s="1" t="n">
        <v>319</v>
      </c>
      <c r="J870" s="1" t="inlineStr">
        <is>
          <t>РИПОЛ Классик</t>
        </is>
      </c>
      <c r="K870" s="1" t="inlineStr">
        <is>
          <t>Пальмира</t>
        </is>
      </c>
      <c r="M870" s="1" t="inlineStr">
        <is>
          <t>2018</t>
        </is>
      </c>
      <c r="N870" s="1" t="inlineStr">
        <is>
          <t>П</t>
        </is>
      </c>
      <c r="O870" s="9" t="n">
        <v>14</v>
      </c>
      <c r="P870" s="1">
        <f>ROUNDUP(937.8*(1-$F$3),2)</f>
        <v/>
      </c>
      <c r="Q870" s="1" t="inlineStr">
        <is>
          <t> </t>
        </is>
      </c>
      <c r="R870" s="1" t="inlineStr">
        <is>
          <t>978-5-386-10970-7</t>
        </is>
      </c>
      <c r="S870" s="1" t="inlineStr">
        <is>
          <t>9785386109707</t>
        </is>
      </c>
      <c r="T870" s="9" t="n">
        <v>10</v>
      </c>
      <c r="U870" s="1">
        <f>ROUNDUP(852.55*(1-$F$3),2)</f>
        <v/>
      </c>
      <c r="V870" s="1" t="n">
        <v>372</v>
      </c>
      <c r="Y870" s="1" t="inlineStr">
        <is>
          <t>2084: Конец Света: роман</t>
        </is>
      </c>
      <c r="Z870" s="1" t="inlineStr">
        <is>
          <t>16+</t>
        </is>
      </c>
      <c r="AA870" s="12" t="n">
        <v>43244</v>
      </c>
      <c r="AB870" s="1" t="inlineStr">
        <is>
          <t>Художественная литература</t>
        </is>
      </c>
      <c r="AC870" s="1" t="inlineStr">
        <is>
          <t>Зарубежная литература</t>
        </is>
      </c>
      <c r="AD870" s="1" t="inlineStr">
        <is>
          <t>Европейская литература</t>
        </is>
      </c>
      <c r="AE870" s="1" t="inlineStr">
        <is>
          <t>офсетная</t>
        </is>
      </c>
      <c r="AG870" s="1" t="n">
        <v>8668990</v>
      </c>
      <c r="AI870" s="1" t="inlineStr">
        <is>
          <t>4901990000</t>
        </is>
      </c>
    </row>
    <row r="871" customFormat="1" s="1">
      <c r="C871" s="1" t="inlineStr">
        <is>
          <t xml:space="preserve">7288270             </t>
        </is>
      </c>
      <c r="D871" s="1" t="inlineStr">
        <is>
          <t>Отдельные бестселлеры</t>
        </is>
      </c>
      <c r="E871" s="1" t="inlineStr">
        <is>
          <t>48 законов власти (полная версия) (офсет). Грин Р.</t>
        </is>
      </c>
      <c r="F871" s="13" t="inlineStr">
        <is>
          <t>См.обл.</t>
        </is>
      </c>
      <c r="G871" s="1" t="inlineStr">
        <is>
          <t>Грин Р.</t>
        </is>
      </c>
      <c r="H871" s="1" t="inlineStr">
        <is>
          <t>84х108/32</t>
        </is>
      </c>
      <c r="I871" s="1" t="n">
        <v>768</v>
      </c>
      <c r="J871" s="1" t="inlineStr">
        <is>
          <t>РИПОЛ Классик</t>
        </is>
      </c>
      <c r="M871" s="1" t="inlineStr">
        <is>
          <t>2026</t>
        </is>
      </c>
      <c r="N871" s="1" t="inlineStr">
        <is>
          <t>П</t>
        </is>
      </c>
      <c r="O871" s="9" t="n">
        <v>4</v>
      </c>
      <c r="P871" s="1">
        <f>ROUNDUP(1530*(1-$F$3),2)</f>
        <v/>
      </c>
      <c r="Q871" s="1" t="inlineStr">
        <is>
          <t> </t>
        </is>
      </c>
      <c r="R871" s="1" t="inlineStr">
        <is>
          <t>978-5-386-06156-2</t>
        </is>
      </c>
      <c r="S871" s="1" t="inlineStr">
        <is>
          <t>9785386061562</t>
        </is>
      </c>
      <c r="T871" s="9" t="n">
        <v>10</v>
      </c>
      <c r="U871" s="1">
        <f>ROUNDUP(1390.91*(1-$F$3),2)</f>
        <v/>
      </c>
      <c r="V871" s="1" t="n">
        <v>673</v>
      </c>
      <c r="Y871" s="1" t="inlineStr">
        <is>
          <t>48 законов власти (полная версия) (офсет)</t>
        </is>
      </c>
      <c r="Z871" s="1" t="inlineStr">
        <is>
          <t>16+</t>
        </is>
      </c>
      <c r="AA871" s="12" t="n">
        <v>42327</v>
      </c>
      <c r="AB871" s="1" t="inlineStr">
        <is>
          <t>Общественные науки</t>
        </is>
      </c>
      <c r="AC871" s="1" t="inlineStr">
        <is>
          <t>Политика</t>
        </is>
      </c>
      <c r="AD871" s="1" t="inlineStr">
        <is>
          <t>Государственное управление. Власть</t>
        </is>
      </c>
      <c r="AE871" s="1" t="inlineStr">
        <is>
          <t>офсетная</t>
        </is>
      </c>
      <c r="AG871" s="1" t="n">
        <v>7288270</v>
      </c>
      <c r="AI871" s="1" t="inlineStr">
        <is>
          <t>4901990000</t>
        </is>
      </c>
    </row>
    <row r="872" customFormat="1" s="1">
      <c r="C872" s="1" t="inlineStr">
        <is>
          <t>310354</t>
        </is>
      </c>
      <c r="D872" s="1" t="inlineStr">
        <is>
          <t>Отдельные издания</t>
        </is>
      </c>
      <c r="E872" s="1" t="inlineStr">
        <is>
          <t>Дело Нины С. Нуровская М.</t>
        </is>
      </c>
      <c r="F872" s="13" t="inlineStr">
        <is>
          <t>См.обл.</t>
        </is>
      </c>
      <c r="G872" s="1" t="inlineStr">
        <is>
          <t>Нуровская М.</t>
        </is>
      </c>
      <c r="H872" s="1" t="inlineStr">
        <is>
          <t>76х108/32</t>
        </is>
      </c>
      <c r="I872" s="1" t="n">
        <v>336</v>
      </c>
      <c r="J872" s="1" t="inlineStr">
        <is>
          <t>РИПОЛ Классик</t>
        </is>
      </c>
      <c r="M872" s="1" t="inlineStr">
        <is>
          <t>2014</t>
        </is>
      </c>
      <c r="N872" s="1" t="inlineStr">
        <is>
          <t>О</t>
        </is>
      </c>
      <c r="O872" s="9" t="n">
        <v>20</v>
      </c>
      <c r="P872" s="1">
        <f>ROUNDUP(716.7*(1-$F$3),2)</f>
        <v/>
      </c>
      <c r="Q872" s="1" t="inlineStr">
        <is>
          <t> </t>
        </is>
      </c>
      <c r="R872" s="1" t="inlineStr">
        <is>
          <t>978-5-386-07252-0</t>
        </is>
      </c>
      <c r="S872" s="1" t="inlineStr">
        <is>
          <t>9785386072520</t>
        </is>
      </c>
      <c r="T872" s="9" t="n">
        <v>10</v>
      </c>
      <c r="U872" s="1">
        <f>ROUNDUP(651.55*(1-$F$3),2)</f>
        <v/>
      </c>
      <c r="V872" s="1" t="n">
        <v>179</v>
      </c>
      <c r="W872" s="1" t="inlineStr">
        <is>
          <t xml:space="preserve">611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872" s="1" t="inlineStr">
        <is>
          <t xml:space="preserve">Зарубежная проза                                                                                                                </t>
        </is>
      </c>
      <c r="Y872" s="1" t="inlineStr">
        <is>
          <t>Дело Нины С</t>
        </is>
      </c>
      <c r="Z872" s="1" t="inlineStr">
        <is>
          <t>16+</t>
        </is>
      </c>
      <c r="AA872" s="12" t="n">
        <v>41813</v>
      </c>
      <c r="AB872" s="1" t="inlineStr">
        <is>
          <t>Художественная литература</t>
        </is>
      </c>
      <c r="AC872" s="1" t="inlineStr">
        <is>
          <t>Детективы. Боевики. Триллеры</t>
        </is>
      </c>
      <c r="AD872" s="1" t="inlineStr">
        <is>
          <t>Зарубежный детектив</t>
        </is>
      </c>
      <c r="AE872" s="1" t="inlineStr">
        <is>
          <t> </t>
        </is>
      </c>
      <c r="AG872" s="1" t="n">
        <v>6262700</v>
      </c>
    </row>
    <row r="873" customFormat="1" s="1">
      <c r="C873" s="1" t="inlineStr">
        <is>
          <t>310024</t>
        </is>
      </c>
      <c r="D873" s="1" t="inlineStr">
        <is>
          <t>Отдельные издания</t>
        </is>
      </c>
      <c r="E873" s="1" t="inlineStr">
        <is>
          <t>Есть, любить, наслаждаться в Лондоне. Путеводитель-травелог для женщин. Ледре В.</t>
        </is>
      </c>
      <c r="F873" s="13" t="inlineStr">
        <is>
          <t>См.обл.</t>
        </is>
      </c>
      <c r="G873" s="1" t="inlineStr">
        <is>
          <t>Ледре В.</t>
        </is>
      </c>
      <c r="H873" s="1" t="inlineStr">
        <is>
          <t>60х90/16</t>
        </is>
      </c>
      <c r="I873" s="1" t="n">
        <v>272</v>
      </c>
      <c r="J873" s="1" t="inlineStr">
        <is>
          <t>РИПОЛ Классик</t>
        </is>
      </c>
      <c r="M873" s="1" t="inlineStr">
        <is>
          <t>2014</t>
        </is>
      </c>
      <c r="N873" s="1" t="inlineStr">
        <is>
          <t>П</t>
        </is>
      </c>
      <c r="O873" s="9" t="n">
        <v>16</v>
      </c>
      <c r="P873" s="1">
        <f>ROUNDUP(805.9*(1-$F$3),2)</f>
        <v/>
      </c>
      <c r="Q873" s="1" t="inlineStr">
        <is>
          <t> </t>
        </is>
      </c>
      <c r="R873" s="1" t="inlineStr">
        <is>
          <t>978-5-386-07404-3</t>
        </is>
      </c>
      <c r="S873" s="1" t="inlineStr">
        <is>
          <t>9785386074043</t>
        </is>
      </c>
      <c r="T873" s="9" t="n">
        <v>10</v>
      </c>
      <c r="U873" s="1">
        <f>ROUNDUP(732.64*(1-$F$3),2)</f>
        <v/>
      </c>
      <c r="V873" s="1" t="n">
        <v>372</v>
      </c>
      <c r="W873" s="1" t="inlineStr">
        <is>
          <t xml:space="preserve">585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873" s="1" t="inlineStr">
        <is>
          <t xml:space="preserve">Путеводители                                                                                                                    </t>
        </is>
      </c>
      <c r="Y873" s="1" t="inlineStr">
        <is>
          <t>Есть, любить, наслаждаться в Лондоне. Путеводитель-травелог для женщин</t>
        </is>
      </c>
      <c r="Z873" s="1" t="inlineStr">
        <is>
          <t>16+</t>
        </is>
      </c>
      <c r="AA873" s="12" t="n">
        <v>41806</v>
      </c>
      <c r="AB873" s="1" t="inlineStr">
        <is>
          <t>Художественная литература</t>
        </is>
      </c>
      <c r="AC873" s="1" t="inlineStr">
        <is>
          <t>Зарубежная литература</t>
        </is>
      </c>
      <c r="AD873" s="1" t="inlineStr">
        <is>
          <t>Европейская литература</t>
        </is>
      </c>
      <c r="AE873" s="1" t="inlineStr">
        <is>
          <t> </t>
        </is>
      </c>
      <c r="AG873" s="1" t="n">
        <v>6254930</v>
      </c>
      <c r="AI873" s="1" t="inlineStr">
        <is>
          <t>4901990000</t>
        </is>
      </c>
    </row>
    <row r="874" customFormat="1" s="1">
      <c r="C874" s="1" t="inlineStr">
        <is>
          <t>316930</t>
        </is>
      </c>
      <c r="D874" s="1" t="inlineStr">
        <is>
          <t>Отдельные издания</t>
        </is>
      </c>
      <c r="E874" s="1" t="inlineStr">
        <is>
          <t>История государства Российского. В 4 т. Том 4 (X-XII) От царствования Федора Иоанновича до конца Смутного времени. Карамзин Н.М.</t>
        </is>
      </c>
      <c r="F874" s="13" t="inlineStr">
        <is>
          <t>См.обл.</t>
        </is>
      </c>
      <c r="G874" s="1" t="inlineStr">
        <is>
          <t>Карамзин Н.М.</t>
        </is>
      </c>
      <c r="H874" s="1" t="inlineStr">
        <is>
          <t>72х108/16</t>
        </is>
      </c>
      <c r="I874" s="1" t="n">
        <v>720</v>
      </c>
      <c r="J874" s="1" t="inlineStr">
        <is>
          <t>РИПОЛ Классик</t>
        </is>
      </c>
      <c r="M874" s="1" t="inlineStr">
        <is>
          <t>2014</t>
        </is>
      </c>
      <c r="N874" s="1" t="inlineStr">
        <is>
          <t>П</t>
        </is>
      </c>
      <c r="O874" s="9" t="n">
        <v>4</v>
      </c>
      <c r="P874" s="1">
        <f>ROUNDUP(1454.5*(1-$F$3),2)</f>
        <v/>
      </c>
      <c r="Q874" s="1" t="inlineStr">
        <is>
          <t> </t>
        </is>
      </c>
      <c r="R874" s="1" t="inlineStr">
        <is>
          <t>978-5-386-07729-7</t>
        </is>
      </c>
      <c r="S874" s="1" t="inlineStr">
        <is>
          <t>9785386077297</t>
        </is>
      </c>
      <c r="T874" s="9" t="n">
        <v>10</v>
      </c>
      <c r="U874" s="1">
        <f>ROUNDUP(1322.27*(1-$F$3),2)</f>
        <v/>
      </c>
      <c r="V874" s="1" t="n">
        <v>1383</v>
      </c>
      <c r="W874" s="1" t="inlineStr">
        <is>
          <t xml:space="preserve">031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874" s="1" t="inlineStr">
        <is>
          <t xml:space="preserve">История России                                                                                                                  </t>
        </is>
      </c>
      <c r="Y874" s="1" t="inlineStr">
        <is>
          <t>История государства Российского. В 4 т. Том 4 (X-XII) От царствования Федора Иоанновича до конца Смутного времени</t>
        </is>
      </c>
      <c r="AA874" s="12" t="n">
        <v>42059</v>
      </c>
      <c r="AB874" s="1" t="inlineStr">
        <is>
          <t>Гуманитарные науки</t>
        </is>
      </c>
      <c r="AC874" s="1" t="inlineStr">
        <is>
          <t>История</t>
        </is>
      </c>
      <c r="AD874" s="1" t="inlineStr">
        <is>
          <t>История России</t>
        </is>
      </c>
      <c r="AE874" s="1" t="inlineStr">
        <is>
          <t> </t>
        </is>
      </c>
      <c r="AG874" s="1" t="n">
        <v>6715760</v>
      </c>
      <c r="AI874" s="1" t="inlineStr">
        <is>
          <t>4901990000</t>
        </is>
      </c>
    </row>
    <row r="875" customFormat="1" s="1">
      <c r="C875" s="1" t="inlineStr">
        <is>
          <t>119829</t>
        </is>
      </c>
      <c r="D875" s="1" t="inlineStr">
        <is>
          <t>Отдельные издания</t>
        </is>
      </c>
      <c r="E875" s="1" t="inlineStr">
        <is>
          <t>Свадебный макияж. Как стать восхитительной невестой. Джонс Р.</t>
        </is>
      </c>
      <c r="F875" s="13" t="inlineStr">
        <is>
          <t>См.обл.</t>
        </is>
      </c>
      <c r="G875" s="1" t="inlineStr">
        <is>
          <t>Джонс Р.</t>
        </is>
      </c>
      <c r="H875" s="1" t="inlineStr">
        <is>
          <t>60х84/8</t>
        </is>
      </c>
      <c r="I875" s="1" t="n">
        <v>145</v>
      </c>
      <c r="J875" s="1" t="inlineStr">
        <is>
          <t>РИПОЛ Классик</t>
        </is>
      </c>
      <c r="M875" s="1" t="inlineStr">
        <is>
          <t>2007</t>
        </is>
      </c>
      <c r="N875" s="1" t="inlineStr">
        <is>
          <t>О</t>
        </is>
      </c>
      <c r="O875" s="9" t="n">
        <v>20</v>
      </c>
      <c r="P875" s="1">
        <f>ROUNDUP(3425.7*(1-$F$3),2)</f>
        <v/>
      </c>
      <c r="Q875" s="1" t="inlineStr">
        <is>
          <t> </t>
        </is>
      </c>
      <c r="R875" s="1" t="inlineStr">
        <is>
          <t>978-5-7905-5278-6</t>
        </is>
      </c>
      <c r="S875" s="1" t="inlineStr">
        <is>
          <t>9785790552786</t>
        </is>
      </c>
      <c r="T875" s="9" t="n">
        <v>10</v>
      </c>
      <c r="U875" s="1">
        <f>ROUNDUP(3114.27*(1-$F$3),2)</f>
        <v/>
      </c>
      <c r="V875" s="1" t="n">
        <v>734</v>
      </c>
      <c r="W875" s="1" t="inlineStr">
        <is>
          <t xml:space="preserve">563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875" s="1" t="inlineStr">
        <is>
          <t xml:space="preserve">Уход за кожей. Макияж                                                                                                           </t>
        </is>
      </c>
      <c r="Y875" s="1" t="inlineStr">
        <is>
          <t>Свадебный макияж. Как стать восхитительной невестой</t>
        </is>
      </c>
      <c r="AA875" s="12" t="n">
        <v>42247</v>
      </c>
      <c r="AB875" s="1" t="inlineStr">
        <is>
          <t>Дом. Быт. Досуг</t>
        </is>
      </c>
      <c r="AC875" s="1" t="inlineStr">
        <is>
          <t>Красота. Любовь. Здоровье</t>
        </is>
      </c>
      <c r="AD875" s="1" t="inlineStr">
        <is>
          <t>Парфюмерия. Косметика. Макияж</t>
        </is>
      </c>
      <c r="AE875" s="1" t="inlineStr">
        <is>
          <t> </t>
        </is>
      </c>
      <c r="AG875" s="1" t="n">
        <v>6807900</v>
      </c>
      <c r="AI875" s="1" t="inlineStr">
        <is>
          <t>4901990000</t>
        </is>
      </c>
    </row>
    <row r="876" customFormat="1" s="1">
      <c r="C876" s="1" t="inlineStr">
        <is>
          <t xml:space="preserve">9612130             </t>
        </is>
      </c>
      <c r="D876" s="1" t="inlineStr">
        <is>
          <t>Оттенки любви</t>
        </is>
      </c>
      <c r="E876" s="1" t="inlineStr">
        <is>
          <t>Взор синих глаз: роман. Харди Т.</t>
        </is>
      </c>
      <c r="F876" s="13" t="inlineStr">
        <is>
          <t>См.обл.</t>
        </is>
      </c>
      <c r="G876" s="1" t="inlineStr">
        <is>
          <t>Харди Т.</t>
        </is>
      </c>
      <c r="H876" s="1" t="inlineStr">
        <is>
          <t>84х108/32</t>
        </is>
      </c>
      <c r="I876" s="1" t="n">
        <v>496</v>
      </c>
      <c r="J876" s="1" t="inlineStr">
        <is>
          <t>РИПОЛ Классик</t>
        </is>
      </c>
      <c r="M876" s="1" t="inlineStr">
        <is>
          <t>2026</t>
        </is>
      </c>
      <c r="N876" s="1" t="inlineStr">
        <is>
          <t>П</t>
        </is>
      </c>
      <c r="O876" s="9" t="n">
        <v>8</v>
      </c>
      <c r="P876" s="1">
        <f>ROUNDUP(1173.8*(1-$F$3),2)</f>
        <v/>
      </c>
      <c r="Q876" s="1" t="inlineStr">
        <is>
          <t> </t>
        </is>
      </c>
      <c r="R876" s="1" t="inlineStr">
        <is>
          <t>978-5-386-13954-4</t>
        </is>
      </c>
      <c r="S876" s="1" t="inlineStr">
        <is>
          <t>9785386139544</t>
        </is>
      </c>
      <c r="T876" s="9" t="n">
        <v>10</v>
      </c>
      <c r="U876" s="1">
        <f>ROUNDUP(1067.09*(1-$F$3),2)</f>
        <v/>
      </c>
      <c r="V876" s="1" t="n">
        <v>527</v>
      </c>
      <c r="Y876" s="1" t="inlineStr">
        <is>
          <t>Взор синих глаз: роман</t>
        </is>
      </c>
      <c r="Z876" s="1" t="inlineStr">
        <is>
          <t>16+</t>
        </is>
      </c>
      <c r="AA876" s="12" t="n">
        <v>44214</v>
      </c>
      <c r="AB876" s="1" t="inlineStr">
        <is>
          <t>Художественная литература</t>
        </is>
      </c>
      <c r="AC876" s="1" t="inlineStr">
        <is>
          <t>Сентиментальная проза</t>
        </is>
      </c>
      <c r="AD876" s="1" t="inlineStr">
        <is>
          <t>Зарубежный сентиментальный роман</t>
        </is>
      </c>
      <c r="AE876" s="1" t="inlineStr">
        <is>
          <t>офсетная</t>
        </is>
      </c>
      <c r="AG876" s="1" t="n">
        <v>9612130</v>
      </c>
      <c r="AI876" s="1" t="inlineStr">
        <is>
          <t>4901990000</t>
        </is>
      </c>
    </row>
    <row r="877" customFormat="1" s="1">
      <c r="C877" s="1" t="inlineStr">
        <is>
          <t xml:space="preserve">9617450             </t>
        </is>
      </c>
      <c r="D877" s="1" t="inlineStr">
        <is>
          <t>Оттенки любви</t>
        </is>
      </c>
      <c r="E877" s="1" t="inlineStr">
        <is>
          <t>Найти виноватого: рассказы. Евгенидис Дж.</t>
        </is>
      </c>
      <c r="F877" s="13" t="inlineStr">
        <is>
          <t>См.обл.</t>
        </is>
      </c>
      <c r="G877" s="1" t="inlineStr">
        <is>
          <t>Евгенидис Дж.</t>
        </is>
      </c>
      <c r="H877" s="1" t="inlineStr">
        <is>
          <t>84х108/32</t>
        </is>
      </c>
      <c r="I877" s="1" t="n">
        <v>272</v>
      </c>
      <c r="J877" s="1" t="inlineStr">
        <is>
          <t>РИПОЛ Классик</t>
        </is>
      </c>
      <c r="M877" s="1" t="inlineStr">
        <is>
          <t>2021</t>
        </is>
      </c>
      <c r="N877" s="1" t="inlineStr">
        <is>
          <t>П</t>
        </is>
      </c>
      <c r="O877" s="9" t="n">
        <v>14</v>
      </c>
      <c r="P877" s="1">
        <f>ROUNDUP(1023.9*(1-$F$3),2)</f>
        <v/>
      </c>
      <c r="Q877" s="1" t="inlineStr">
        <is>
          <t> </t>
        </is>
      </c>
      <c r="R877" s="1" t="inlineStr">
        <is>
          <t>978-5-386-14004-5</t>
        </is>
      </c>
      <c r="S877" s="1" t="inlineStr">
        <is>
          <t>9785386140045</t>
        </is>
      </c>
      <c r="T877" s="9" t="n">
        <v>10</v>
      </c>
      <c r="U877" s="1">
        <f>ROUNDUP(930.82*(1-$F$3),2)</f>
        <v/>
      </c>
      <c r="V877" s="1" t="n">
        <v>327</v>
      </c>
      <c r="Y877" s="1" t="inlineStr">
        <is>
          <t>Найти виноватого: рассказы</t>
        </is>
      </c>
      <c r="Z877" s="1" t="inlineStr">
        <is>
          <t>16+</t>
        </is>
      </c>
      <c r="AA877" s="12" t="n">
        <v>44239</v>
      </c>
      <c r="AB877" s="1" t="inlineStr">
        <is>
          <t>Художественная литература</t>
        </is>
      </c>
      <c r="AC877" s="1" t="inlineStr">
        <is>
          <t>Зарубежная литература</t>
        </is>
      </c>
      <c r="AD877" s="1" t="inlineStr">
        <is>
          <t>Литература Америки и Австралии</t>
        </is>
      </c>
      <c r="AE877" s="1" t="inlineStr">
        <is>
          <t>офсетная</t>
        </is>
      </c>
      <c r="AG877" s="1" t="n">
        <v>9617450</v>
      </c>
      <c r="AI877" s="1" t="inlineStr">
        <is>
          <t>4901990000</t>
        </is>
      </c>
    </row>
    <row r="878" customFormat="1" s="1">
      <c r="C878" s="1" t="inlineStr">
        <is>
          <t xml:space="preserve">8814790             </t>
        </is>
      </c>
      <c r="D878" s="1" t="inlineStr">
        <is>
          <t>Пальмира история</t>
        </is>
      </c>
      <c r="E878" s="1" t="inlineStr">
        <is>
          <t>Пир князя Владимира: роман. Марика Д.М.</t>
        </is>
      </c>
      <c r="F878" s="13" t="inlineStr">
        <is>
          <t>См.обл.</t>
        </is>
      </c>
      <c r="G878" s="1" t="inlineStr">
        <is>
          <t>Марика Д.М.</t>
        </is>
      </c>
      <c r="H878" s="1" t="inlineStr">
        <is>
          <t>84х108/32</t>
        </is>
      </c>
      <c r="I878" s="1" t="n">
        <v>255</v>
      </c>
      <c r="J878" s="1" t="inlineStr">
        <is>
          <t>РИПОЛ Классик</t>
        </is>
      </c>
      <c r="K878" s="1" t="inlineStr">
        <is>
          <t>Пальмира</t>
        </is>
      </c>
      <c r="M878" s="1" t="inlineStr">
        <is>
          <t>2018</t>
        </is>
      </c>
      <c r="N878" s="1" t="inlineStr">
        <is>
          <t>П</t>
        </is>
      </c>
      <c r="O878" s="9" t="n">
        <v>16</v>
      </c>
      <c r="P878" s="1">
        <f>ROUNDUP(883.1*(1-$F$3),2)</f>
        <v/>
      </c>
      <c r="Q878" s="1" t="inlineStr">
        <is>
          <t> </t>
        </is>
      </c>
      <c r="R878" s="1" t="inlineStr">
        <is>
          <t>978-5-386-10785-7</t>
        </is>
      </c>
      <c r="S878" s="1" t="inlineStr">
        <is>
          <t>9785386107857</t>
        </is>
      </c>
      <c r="T878" s="9" t="n">
        <v>10</v>
      </c>
      <c r="U878" s="1">
        <f>ROUNDUP(802.82*(1-$F$3),2)</f>
        <v/>
      </c>
      <c r="V878" s="1" t="n">
        <v>313</v>
      </c>
      <c r="Y878" s="1" t="inlineStr">
        <is>
          <t>Пир князя Владимира: роман</t>
        </is>
      </c>
      <c r="Z878" s="1" t="inlineStr">
        <is>
          <t>12+</t>
        </is>
      </c>
      <c r="AA878" s="12" t="n">
        <v>43390</v>
      </c>
      <c r="AB878" s="1" t="inlineStr">
        <is>
          <t>Художественная литература</t>
        </is>
      </c>
      <c r="AC878" s="1" t="inlineStr">
        <is>
          <t>Зарубежная литература</t>
        </is>
      </c>
      <c r="AD878" s="1" t="inlineStr">
        <is>
          <t>Европейская литература</t>
        </is>
      </c>
      <c r="AE878" s="1" t="inlineStr">
        <is>
          <t>офсетная</t>
        </is>
      </c>
      <c r="AG878" s="1" t="n">
        <v>8814790</v>
      </c>
      <c r="AI878" s="1" t="inlineStr">
        <is>
          <t>4901990000</t>
        </is>
      </c>
    </row>
    <row r="879" customFormat="1" s="1">
      <c r="C879" s="1" t="inlineStr">
        <is>
          <t xml:space="preserve">8677230             </t>
        </is>
      </c>
      <c r="D879" s="1" t="inlineStr">
        <is>
          <t>Пальмира-Классика</t>
        </is>
      </c>
      <c r="E879" s="1" t="inlineStr">
        <is>
          <t>Утонченный мертвец: роман. Ирвин Р.</t>
        </is>
      </c>
      <c r="F879" s="13" t="inlineStr">
        <is>
          <t>См.обл.</t>
        </is>
      </c>
      <c r="G879" s="1" t="inlineStr">
        <is>
          <t>Ирвин Р.</t>
        </is>
      </c>
      <c r="H879" s="1" t="inlineStr">
        <is>
          <t>84х108/32</t>
        </is>
      </c>
      <c r="I879" s="1" t="n">
        <v>335</v>
      </c>
      <c r="J879" s="1" t="inlineStr">
        <is>
          <t>РИПОЛ Классик</t>
        </is>
      </c>
      <c r="K879" s="1" t="inlineStr">
        <is>
          <t>Пальмира</t>
        </is>
      </c>
      <c r="M879" s="1" t="inlineStr">
        <is>
          <t>2018</t>
        </is>
      </c>
      <c r="N879" s="1" t="inlineStr">
        <is>
          <t>П</t>
        </is>
      </c>
      <c r="O879" s="9" t="n">
        <v>10</v>
      </c>
      <c r="P879" s="1">
        <f>ROUNDUP(1060*(1-$F$3),2)</f>
        <v/>
      </c>
      <c r="Q879" s="1" t="inlineStr">
        <is>
          <t> </t>
        </is>
      </c>
      <c r="R879" s="1" t="inlineStr">
        <is>
          <t>978-5-386-10959-2</t>
        </is>
      </c>
      <c r="S879" s="1" t="inlineStr">
        <is>
          <t>9785386109592</t>
        </is>
      </c>
      <c r="T879" s="9" t="n">
        <v>10</v>
      </c>
      <c r="U879" s="1">
        <f>ROUNDUP(963.64*(1-$F$3),2)</f>
        <v/>
      </c>
      <c r="V879" s="1" t="n">
        <v>391</v>
      </c>
      <c r="Y879" s="1" t="inlineStr">
        <is>
          <t>Утонченный мертвец: роман</t>
        </is>
      </c>
      <c r="Z879" s="1" t="inlineStr">
        <is>
          <t>16+</t>
        </is>
      </c>
      <c r="AA879" s="12" t="n">
        <v>43251</v>
      </c>
      <c r="AB879" s="1" t="inlineStr">
        <is>
          <t>Художественная литература</t>
        </is>
      </c>
      <c r="AC879" s="1" t="inlineStr">
        <is>
          <t>Зарубежная литература</t>
        </is>
      </c>
      <c r="AD879" s="1" t="inlineStr">
        <is>
          <t>Литература Америки и Австралии</t>
        </is>
      </c>
      <c r="AE879" s="1" t="inlineStr">
        <is>
          <t>офсетная</t>
        </is>
      </c>
      <c r="AG879" s="1" t="n">
        <v>8677230</v>
      </c>
      <c r="AI879" s="1" t="inlineStr">
        <is>
          <t>4901990000</t>
        </is>
      </c>
    </row>
    <row r="880" customFormat="1" s="1">
      <c r="C880" s="1" t="inlineStr">
        <is>
          <t xml:space="preserve">8230680             </t>
        </is>
      </c>
      <c r="D880" s="1" t="inlineStr">
        <is>
          <t>Перекрестья русской мысли</t>
        </is>
      </c>
      <c r="E880" s="1" t="inlineStr">
        <is>
          <t>Философические письма, адресованные даме. Чаадаев П.Я.</t>
        </is>
      </c>
      <c r="F880" s="13" t="inlineStr">
        <is>
          <t>См.обл.</t>
        </is>
      </c>
      <c r="G880" s="1" t="inlineStr">
        <is>
          <t>Чаадаев П.Я.</t>
        </is>
      </c>
      <c r="H880" s="1" t="inlineStr">
        <is>
          <t>84х108/32</t>
        </is>
      </c>
      <c r="I880" s="1" t="n">
        <v>554</v>
      </c>
      <c r="J880" s="1" t="inlineStr">
        <is>
          <t>РИПОЛ Классик</t>
        </is>
      </c>
      <c r="M880" s="1" t="inlineStr">
        <is>
          <t>2017</t>
        </is>
      </c>
      <c r="N880" s="1" t="inlineStr">
        <is>
          <t>П</t>
        </is>
      </c>
      <c r="O880" s="9" t="n">
        <v>8</v>
      </c>
      <c r="P880" s="1">
        <f>ROUNDUP(1620.2*(1-$F$3),2)</f>
        <v/>
      </c>
      <c r="Q880" s="1" t="inlineStr">
        <is>
          <t> </t>
        </is>
      </c>
      <c r="R880" s="1" t="inlineStr">
        <is>
          <t>978-5-386-09822-3</t>
        </is>
      </c>
      <c r="S880" s="1" t="inlineStr">
        <is>
          <t>9785386098223</t>
        </is>
      </c>
      <c r="T880" s="9" t="n">
        <v>10</v>
      </c>
      <c r="U880" s="1">
        <f>ROUNDUP(1472.91*(1-$F$3),2)</f>
        <v/>
      </c>
      <c r="V880" s="1" t="n">
        <v>577</v>
      </c>
      <c r="Y880" s="1" t="inlineStr">
        <is>
          <t>Философические письма, адресованные даме</t>
        </is>
      </c>
      <c r="Z880" s="1" t="inlineStr">
        <is>
          <t>12+</t>
        </is>
      </c>
      <c r="AA880" s="12" t="n">
        <v>42985</v>
      </c>
      <c r="AB880" s="1" t="inlineStr">
        <is>
          <t>Гуманитарные науки</t>
        </is>
      </c>
      <c r="AC880" s="1" t="inlineStr">
        <is>
          <t>Философские науки</t>
        </is>
      </c>
      <c r="AD880" s="1" t="inlineStr">
        <is>
          <t>Философия в целом. Труды</t>
        </is>
      </c>
      <c r="AE880" s="1" t="inlineStr">
        <is>
          <t>офсетная</t>
        </is>
      </c>
      <c r="AG880" s="1" t="n">
        <v>8230680</v>
      </c>
      <c r="AI880" s="1" t="inlineStr">
        <is>
          <t>4901990000</t>
        </is>
      </c>
    </row>
    <row r="881" customFormat="1" s="1">
      <c r="C881" s="1" t="inlineStr">
        <is>
          <t xml:space="preserve">9589820             </t>
        </is>
      </c>
      <c r="D881" s="1" t="inlineStr">
        <is>
          <t>Пир мудрецов</t>
        </is>
      </c>
      <c r="E881" s="1" t="inlineStr">
        <is>
          <t>48 законов власти (краткая версия). Грин Р.</t>
        </is>
      </c>
      <c r="F881" s="13" t="inlineStr">
        <is>
          <t>См.обл.</t>
        </is>
      </c>
      <c r="G881" s="1" t="inlineStr">
        <is>
          <t>Грин Р.</t>
        </is>
      </c>
      <c r="H881" s="1" t="inlineStr">
        <is>
          <t>84х108/32</t>
        </is>
      </c>
      <c r="I881" s="1" t="n">
        <v>302</v>
      </c>
      <c r="J881" s="1" t="inlineStr">
        <is>
          <t>РИПОЛ Классик</t>
        </is>
      </c>
      <c r="M881" s="1" t="inlineStr">
        <is>
          <t>2026</t>
        </is>
      </c>
      <c r="N881" s="1" t="inlineStr">
        <is>
          <t>П</t>
        </is>
      </c>
      <c r="O881" s="9" t="n">
        <v>10</v>
      </c>
      <c r="P881" s="1">
        <f>ROUNDUP(1100*(1-$F$3),2)</f>
        <v/>
      </c>
      <c r="Q881" s="1" t="inlineStr">
        <is>
          <t> </t>
        </is>
      </c>
      <c r="R881" s="1" t="inlineStr">
        <is>
          <t>978-5-386-13898-1</t>
        </is>
      </c>
      <c r="S881" s="1" t="inlineStr">
        <is>
          <t>9785386138981</t>
        </is>
      </c>
      <c r="T881" s="9" t="n">
        <v>10</v>
      </c>
      <c r="U881" s="1">
        <f>ROUNDUP(1000*(1-$F$3),2)</f>
        <v/>
      </c>
      <c r="V881" s="1" t="n">
        <v>329</v>
      </c>
      <c r="Y881" s="1" t="inlineStr">
        <is>
          <t>48 законов власти (краткая версия)</t>
        </is>
      </c>
      <c r="Z881" s="1" t="inlineStr">
        <is>
          <t>16+</t>
        </is>
      </c>
      <c r="AA881" s="12" t="n">
        <v>44208</v>
      </c>
      <c r="AB881" s="1" t="inlineStr">
        <is>
          <t>Общественные науки</t>
        </is>
      </c>
      <c r="AC881" s="1" t="inlineStr">
        <is>
          <t>Политика</t>
        </is>
      </c>
      <c r="AD881" s="1" t="inlineStr">
        <is>
          <t>Государственное управление. Власть</t>
        </is>
      </c>
      <c r="AE881" s="1" t="inlineStr">
        <is>
          <t>офсетная</t>
        </is>
      </c>
      <c r="AG881" s="1" t="n">
        <v>9589820</v>
      </c>
      <c r="AI881" s="1" t="inlineStr">
        <is>
          <t>4901990000</t>
        </is>
      </c>
    </row>
    <row r="882" customFormat="1" s="1">
      <c r="C882" s="1" t="inlineStr">
        <is>
          <t xml:space="preserve">12117720            </t>
        </is>
      </c>
      <c r="D882" s="1" t="inlineStr">
        <is>
          <t>Письма из Маринбурга</t>
        </is>
      </c>
      <c r="E882" s="1" t="inlineStr">
        <is>
          <t>Багряный сезон. Зимовец А.</t>
        </is>
      </c>
      <c r="F882" s="13" t="inlineStr">
        <is>
          <t>См.обл.</t>
        </is>
      </c>
      <c r="G882" s="1" t="inlineStr">
        <is>
          <t>Зимовец А.</t>
        </is>
      </c>
      <c r="H882" s="1" t="inlineStr">
        <is>
          <t>60х90/16</t>
        </is>
      </c>
      <c r="I882" s="1" t="n">
        <v>288</v>
      </c>
      <c r="J882" s="1" t="inlineStr">
        <is>
          <t>РИПОЛ Классик</t>
        </is>
      </c>
      <c r="M882" s="1" t="inlineStr">
        <is>
          <t>2026</t>
        </is>
      </c>
      <c r="N882" s="1" t="inlineStr">
        <is>
          <t>П</t>
        </is>
      </c>
      <c r="O882" s="9" t="n">
        <v>8</v>
      </c>
      <c r="P882" s="1">
        <f>ROUNDUP(899*(1-$F$3),2)</f>
        <v/>
      </c>
      <c r="Q882" s="1" t="inlineStr">
        <is>
          <t> </t>
        </is>
      </c>
      <c r="R882" s="1" t="inlineStr">
        <is>
          <t>978-5-386-15610-7</t>
        </is>
      </c>
      <c r="S882" s="1" t="inlineStr">
        <is>
          <t>9785386156107</t>
        </is>
      </c>
      <c r="T882" s="9" t="n">
        <v>10</v>
      </c>
      <c r="U882" s="1">
        <f>ROUNDUP(817.27*(1-$F$3),2)</f>
        <v/>
      </c>
      <c r="V882" s="1" t="n">
        <v>365</v>
      </c>
      <c r="Y882" s="1" t="inlineStr">
        <is>
          <t>Багряный сезон</t>
        </is>
      </c>
      <c r="Z882" s="1" t="inlineStr">
        <is>
          <t>16+</t>
        </is>
      </c>
      <c r="AA882" s="12" t="n">
        <v>46175</v>
      </c>
      <c r="AB882" s="1" t="inlineStr">
        <is>
          <t>Художественная литература</t>
        </is>
      </c>
      <c r="AC882" s="1" t="inlineStr">
        <is>
          <t>Фантастика. Мистика. Ужасы</t>
        </is>
      </c>
      <c r="AD882" s="1" t="inlineStr">
        <is>
          <t>Фэнтези</t>
        </is>
      </c>
      <c r="AE882" s="1" t="inlineStr">
        <is>
          <t>офсетная</t>
        </is>
      </c>
      <c r="AG882" s="1" t="n">
        <v>12117720</v>
      </c>
      <c r="AI882" s="1" t="inlineStr">
        <is>
          <t>4901990000</t>
        </is>
      </c>
    </row>
    <row r="883" customFormat="1" s="1">
      <c r="C883" s="1" t="inlineStr">
        <is>
          <t>11924310</t>
        </is>
      </c>
      <c r="D883" s="1" t="inlineStr">
        <is>
          <t>Письма из Маринбурга</t>
        </is>
      </c>
      <c r="E883" s="1" t="inlineStr">
        <is>
          <t>Дуэльный сезон (с автографом). Зимовец А.</t>
        </is>
      </c>
      <c r="F883" s="13" t="inlineStr">
        <is>
          <t>См.обл.</t>
        </is>
      </c>
      <c r="G883" s="1" t="inlineStr">
        <is>
          <t>Зимовец А.</t>
        </is>
      </c>
      <c r="H883" s="1" t="inlineStr">
        <is>
          <t>60х90/16</t>
        </is>
      </c>
      <c r="I883" s="1" t="n">
        <v>288</v>
      </c>
      <c r="J883" s="1" t="inlineStr">
        <is>
          <t>РИПОЛ Классик</t>
        </is>
      </c>
      <c r="K883" s="1" t="inlineStr">
        <is>
          <t>RUGRAM_ЛИТНЕТ</t>
        </is>
      </c>
      <c r="M883" s="1" t="inlineStr">
        <is>
          <t>2025</t>
        </is>
      </c>
      <c r="N883" s="1" t="inlineStr">
        <is>
          <t>П</t>
        </is>
      </c>
      <c r="O883" s="9" t="n">
        <v>12</v>
      </c>
      <c r="P883" s="1">
        <f>ROUNDUP(1199*(1-$F$3),2)</f>
        <v/>
      </c>
      <c r="Q883" s="1" t="inlineStr">
        <is>
          <t> </t>
        </is>
      </c>
      <c r="R883" s="1" t="inlineStr">
        <is>
          <t>978-5-8853-8430-8</t>
        </is>
      </c>
      <c r="S883" s="1" t="inlineStr">
        <is>
          <t>9785885384308</t>
        </is>
      </c>
      <c r="T883" s="9" t="n">
        <v>10</v>
      </c>
      <c r="U883" s="1">
        <f>ROUNDUP(1090*(1-$F$3),2)</f>
        <v/>
      </c>
      <c r="V883" s="1" t="n">
        <v>404</v>
      </c>
      <c r="Y883" s="1" t="inlineStr">
        <is>
          <t>Дуэльный сезон (с автографом)</t>
        </is>
      </c>
      <c r="Z883" s="1" t="inlineStr">
        <is>
          <t>16+</t>
        </is>
      </c>
      <c r="AA883" s="12" t="n">
        <v>45953</v>
      </c>
      <c r="AB883" s="1" t="inlineStr">
        <is>
          <t>Художественная литература</t>
        </is>
      </c>
      <c r="AC883" s="1" t="inlineStr">
        <is>
          <t>Фантастика. Мистика. Ужасы</t>
        </is>
      </c>
      <c r="AD883" s="1" t="inlineStr">
        <is>
          <t>Фэнтези</t>
        </is>
      </c>
      <c r="AE883" s="1" t="inlineStr">
        <is>
          <t>офсетная</t>
        </is>
      </c>
      <c r="AG883" s="1" t="n">
        <v>11924310</v>
      </c>
      <c r="AI883" s="1" t="inlineStr">
        <is>
          <t>4901990000</t>
        </is>
      </c>
    </row>
    <row r="884" customFormat="1" s="1">
      <c r="C884" s="1" t="inlineStr">
        <is>
          <t xml:space="preserve">11825970            </t>
        </is>
      </c>
      <c r="D884" s="1" t="inlineStr">
        <is>
          <t>Письма из Маринбурга</t>
        </is>
      </c>
      <c r="E884" s="1" t="inlineStr">
        <is>
          <t>Дуэльный сезон. Зимовец А.</t>
        </is>
      </c>
      <c r="F884" s="13" t="inlineStr">
        <is>
          <t>См.обл.</t>
        </is>
      </c>
      <c r="G884" s="1" t="inlineStr">
        <is>
          <t>Зимовец А.</t>
        </is>
      </c>
      <c r="H884" s="1" t="inlineStr">
        <is>
          <t>60х90/16</t>
        </is>
      </c>
      <c r="I884" s="1" t="n">
        <v>288</v>
      </c>
      <c r="J884" s="1" t="inlineStr">
        <is>
          <t>РИПОЛ Классик</t>
        </is>
      </c>
      <c r="K884" s="1" t="inlineStr">
        <is>
          <t>RUGRAM_ЛИТНЕТ</t>
        </is>
      </c>
      <c r="M884" s="1" t="inlineStr">
        <is>
          <t>2025</t>
        </is>
      </c>
      <c r="N884" s="1" t="inlineStr">
        <is>
          <t>П</t>
        </is>
      </c>
      <c r="O884" s="9" t="n">
        <v>12</v>
      </c>
      <c r="P884" s="1">
        <f>ROUNDUP(940*(1-$F$3),2)</f>
        <v/>
      </c>
      <c r="Q884" s="1" t="inlineStr">
        <is>
          <t> </t>
        </is>
      </c>
      <c r="R884" s="1" t="inlineStr">
        <is>
          <t>978-5-386-15479-0</t>
        </is>
      </c>
      <c r="S884" s="1" t="inlineStr">
        <is>
          <t>9785386154790</t>
        </is>
      </c>
      <c r="T884" s="9" t="n">
        <v>10</v>
      </c>
      <c r="U884" s="1">
        <f>ROUNDUP(854.55*(1-$F$3),2)</f>
        <v/>
      </c>
      <c r="V884" s="1" t="n">
        <v>404</v>
      </c>
      <c r="Y884" s="1" t="inlineStr">
        <is>
          <t>Дуэльный сезон</t>
        </is>
      </c>
      <c r="Z884" s="1" t="inlineStr">
        <is>
          <t>16+</t>
        </is>
      </c>
      <c r="AA884" s="12" t="n">
        <v>45879</v>
      </c>
      <c r="AB884" s="1" t="inlineStr">
        <is>
          <t>Художественная литература</t>
        </is>
      </c>
      <c r="AC884" s="1" t="inlineStr">
        <is>
          <t>Фантастика. Мистика. Ужасы</t>
        </is>
      </c>
      <c r="AD884" s="1" t="inlineStr">
        <is>
          <t>Фэнтези</t>
        </is>
      </c>
      <c r="AE884" s="1" t="inlineStr">
        <is>
          <t>офсетная</t>
        </is>
      </c>
      <c r="AG884" s="1" t="n">
        <v>11825970</v>
      </c>
      <c r="AI884" s="1" t="inlineStr">
        <is>
          <t>4901990000</t>
        </is>
      </c>
    </row>
    <row r="885" customFormat="1" s="1">
      <c r="C885" s="1" t="inlineStr">
        <is>
          <t xml:space="preserve">9691070             </t>
        </is>
      </c>
      <c r="D885" s="1" t="inlineStr">
        <is>
          <t>Плейлист</t>
        </is>
      </c>
      <c r="E885" s="1" t="inlineStr">
        <is>
          <t>Metallica. Вся правда о группе. Макайвер Дж.</t>
        </is>
      </c>
      <c r="F885" s="13" t="inlineStr">
        <is>
          <t>См.обл.</t>
        </is>
      </c>
      <c r="G885" s="1" t="inlineStr">
        <is>
          <t>Макайвер Дж.</t>
        </is>
      </c>
      <c r="H885" s="1" t="inlineStr">
        <is>
          <t>84х108/32</t>
        </is>
      </c>
      <c r="I885" s="1" t="n">
        <v>560</v>
      </c>
      <c r="J885" s="1" t="inlineStr">
        <is>
          <t>РИПОЛ Классик</t>
        </is>
      </c>
      <c r="M885" s="1" t="inlineStr">
        <is>
          <t>2022</t>
        </is>
      </c>
      <c r="N885" s="1" t="inlineStr">
        <is>
          <t>П</t>
        </is>
      </c>
      <c r="O885" s="9" t="n">
        <v>8</v>
      </c>
      <c r="P885" s="1">
        <f>ROUNDUP(1750*(1-$F$3),2)</f>
        <v/>
      </c>
      <c r="Q885" s="1" t="inlineStr">
        <is>
          <t> </t>
        </is>
      </c>
      <c r="R885" s="1" t="inlineStr">
        <is>
          <t>978-5-386-13851-6</t>
        </is>
      </c>
      <c r="S885" s="1" t="inlineStr">
        <is>
          <t>9785386138516</t>
        </is>
      </c>
      <c r="T885" s="9" t="n">
        <v>10</v>
      </c>
      <c r="U885" s="1">
        <f>ROUNDUP(1590.91*(1-$F$3),2)</f>
        <v/>
      </c>
      <c r="V885" s="1" t="n">
        <v>574</v>
      </c>
      <c r="Y885" s="1" t="inlineStr">
        <is>
          <t>Metallica. Вся правда о группе</t>
        </is>
      </c>
      <c r="Z885" s="1" t="inlineStr">
        <is>
          <t>12+</t>
        </is>
      </c>
      <c r="AA885" s="12" t="n">
        <v>44356</v>
      </c>
      <c r="AB885" s="1" t="inlineStr">
        <is>
          <t>Искусство</t>
        </is>
      </c>
      <c r="AC885" s="1" t="inlineStr">
        <is>
          <t>Музыка и зрелищные искусства</t>
        </is>
      </c>
      <c r="AD885" s="1" t="inlineStr">
        <is>
          <t>Музыка</t>
        </is>
      </c>
      <c r="AE885" s="1" t="inlineStr">
        <is>
          <t>офсетная</t>
        </is>
      </c>
      <c r="AG885" s="1" t="n">
        <v>9691070</v>
      </c>
      <c r="AI885" s="1" t="inlineStr">
        <is>
          <t>4901990000</t>
        </is>
      </c>
    </row>
    <row r="886" customFormat="1" s="1">
      <c r="C886" s="1" t="inlineStr">
        <is>
          <t xml:space="preserve">9972930             </t>
        </is>
      </c>
      <c r="D886" s="1" t="inlineStr">
        <is>
          <t>Плейлист</t>
        </is>
      </c>
      <c r="E886" s="1" t="inlineStr">
        <is>
          <t>Грандиозная история музыки XX века. Рондарев А.В.</t>
        </is>
      </c>
      <c r="F886" s="13" t="inlineStr">
        <is>
          <t>См.обл.</t>
        </is>
      </c>
      <c r="G886" s="1" t="inlineStr">
        <is>
          <t>Рондарев А.В.</t>
        </is>
      </c>
      <c r="H886" s="1" t="inlineStr">
        <is>
          <t>84х108/32</t>
        </is>
      </c>
      <c r="I886" s="1" t="n">
        <v>864</v>
      </c>
      <c r="J886" s="1" t="inlineStr">
        <is>
          <t>РИПОЛ Классик</t>
        </is>
      </c>
      <c r="M886" s="1" t="inlineStr">
        <is>
          <t>2021</t>
        </is>
      </c>
      <c r="N886" s="1" t="inlineStr">
        <is>
          <t>П</t>
        </is>
      </c>
      <c r="O886" s="9" t="n">
        <v>4</v>
      </c>
      <c r="P886" s="1">
        <f>ROUNDUP(1580*(1-$F$3),2)</f>
        <v/>
      </c>
      <c r="Q886" s="1" t="inlineStr">
        <is>
          <t> </t>
        </is>
      </c>
      <c r="R886" s="1" t="inlineStr">
        <is>
          <t>978-5-386-14405-0</t>
        </is>
      </c>
      <c r="S886" s="1" t="inlineStr">
        <is>
          <t>9785386144050</t>
        </is>
      </c>
      <c r="T886" s="9" t="n">
        <v>10</v>
      </c>
      <c r="U886" s="1">
        <f>ROUNDUP(1436.36*(1-$F$3),2)</f>
        <v/>
      </c>
      <c r="V886" s="1" t="n">
        <v>801</v>
      </c>
      <c r="Y886" s="1" t="inlineStr">
        <is>
          <t>Грандиозная история музыки XX века</t>
        </is>
      </c>
      <c r="Z886" s="1" t="inlineStr">
        <is>
          <t>18+</t>
        </is>
      </c>
      <c r="AA886" s="12" t="n">
        <v>44557</v>
      </c>
      <c r="AB886" s="1" t="inlineStr">
        <is>
          <t>Искусство</t>
        </is>
      </c>
      <c r="AC886" s="1" t="inlineStr">
        <is>
          <t>Музыка и зрелищные искусства</t>
        </is>
      </c>
      <c r="AD886" s="1" t="inlineStr">
        <is>
          <t>Музыка</t>
        </is>
      </c>
      <c r="AE886" s="1" t="inlineStr">
        <is>
          <t>офсетная</t>
        </is>
      </c>
      <c r="AG886" s="1" t="n">
        <v>9972930</v>
      </c>
      <c r="AI886" s="1" t="inlineStr">
        <is>
          <t>4901990000</t>
        </is>
      </c>
      <c r="AJ886" s="1" t="inlineStr">
        <is>
          <t>Зпв</t>
        </is>
      </c>
    </row>
    <row r="887" customFormat="1" s="1">
      <c r="C887" s="1" t="inlineStr">
        <is>
          <t xml:space="preserve">8817670             </t>
        </is>
      </c>
      <c r="D887" s="1" t="inlineStr">
        <is>
          <t>Подарок на Рождество</t>
        </is>
      </c>
      <c r="E887" s="1" t="inlineStr">
        <is>
          <t>Подарок на Рождество: 25 счастливых дней: новеллы. Буренина К.В.</t>
        </is>
      </c>
      <c r="F887" s="13" t="inlineStr">
        <is>
          <t>См.обл.</t>
        </is>
      </c>
      <c r="G887" s="1" t="inlineStr">
        <is>
          <t>Буренина К.В.</t>
        </is>
      </c>
      <c r="H887" s="1" t="inlineStr">
        <is>
          <t>84х108/32</t>
        </is>
      </c>
      <c r="I887" s="1" t="n">
        <v>319</v>
      </c>
      <c r="J887" s="1" t="inlineStr">
        <is>
          <t>РИПОЛ Классик</t>
        </is>
      </c>
      <c r="K887" s="1" t="inlineStr">
        <is>
          <t>Пальмира</t>
        </is>
      </c>
      <c r="M887" s="1" t="inlineStr">
        <is>
          <t>2019</t>
        </is>
      </c>
      <c r="N887" s="1" t="inlineStr">
        <is>
          <t>П</t>
        </is>
      </c>
      <c r="O887" s="9" t="n">
        <v>12</v>
      </c>
      <c r="P887" s="1">
        <f>ROUNDUP(956.8*(1-$F$3),2)</f>
        <v/>
      </c>
      <c r="Q887" s="1" t="inlineStr">
        <is>
          <t> </t>
        </is>
      </c>
      <c r="R887" s="1" t="inlineStr">
        <is>
          <t>978-5-386-12258-4</t>
        </is>
      </c>
      <c r="S887" s="1" t="inlineStr">
        <is>
          <t>9785386122584</t>
        </is>
      </c>
      <c r="T887" s="9" t="n">
        <v>10</v>
      </c>
      <c r="U887" s="1">
        <f>ROUNDUP(869.82*(1-$F$3),2)</f>
        <v/>
      </c>
      <c r="V887" s="1" t="n">
        <v>429</v>
      </c>
      <c r="Y887" s="1" t="inlineStr">
        <is>
          <t>Подарок на Рождество: 25 счастливых дней: новеллы</t>
        </is>
      </c>
      <c r="Z887" s="1" t="inlineStr">
        <is>
          <t>12+</t>
        </is>
      </c>
      <c r="AA887" s="12" t="n">
        <v>43395</v>
      </c>
      <c r="AB887" s="1" t="inlineStr">
        <is>
          <t>Художественная литература</t>
        </is>
      </c>
      <c r="AC887" s="1" t="inlineStr">
        <is>
          <t>Русская литература</t>
        </is>
      </c>
      <c r="AD887" s="1" t="inlineStr">
        <is>
          <t>Современная литература</t>
        </is>
      </c>
      <c r="AE887" s="1" t="inlineStr">
        <is>
          <t>офсетная</t>
        </is>
      </c>
      <c r="AG887" s="1" t="n">
        <v>8817670</v>
      </c>
      <c r="AI887" s="1" t="inlineStr">
        <is>
          <t>4901990000</t>
        </is>
      </c>
    </row>
    <row r="888" customFormat="1" s="1">
      <c r="C888" s="1" t="inlineStr">
        <is>
          <t xml:space="preserve">11693680            </t>
        </is>
      </c>
      <c r="D888" s="1" t="inlineStr">
        <is>
          <t>Подарочная полка</t>
        </is>
      </c>
      <c r="E888" s="1" t="inlineStr">
        <is>
          <t>48 законов власти (полная версия). Грин Р.</t>
        </is>
      </c>
      <c r="F888" s="13" t="inlineStr">
        <is>
          <t>См.обл.</t>
        </is>
      </c>
      <c r="G888" s="1" t="inlineStr">
        <is>
          <t>Грин Р.</t>
        </is>
      </c>
      <c r="H888" s="1" t="inlineStr">
        <is>
          <t>70х100/16</t>
        </is>
      </c>
      <c r="I888" s="1" t="n">
        <v>768</v>
      </c>
      <c r="J888" s="1" t="inlineStr">
        <is>
          <t>РИПОЛ Классик</t>
        </is>
      </c>
      <c r="M888" s="1" t="inlineStr">
        <is>
          <t>2025</t>
        </is>
      </c>
      <c r="N888" s="1" t="inlineStr">
        <is>
          <t>П</t>
        </is>
      </c>
      <c r="O888" s="9" t="n">
        <v>3</v>
      </c>
      <c r="P888" s="1">
        <f>ROUNDUP(2740*(1-$F$3),2)</f>
        <v/>
      </c>
      <c r="Q888" s="1" t="inlineStr">
        <is>
          <t> </t>
        </is>
      </c>
      <c r="R888" s="1" t="inlineStr">
        <is>
          <t>978-5-386-15427-1</t>
        </is>
      </c>
      <c r="S888" s="1" t="inlineStr">
        <is>
          <t>9785386154271</t>
        </is>
      </c>
      <c r="T888" s="9" t="n">
        <v>10</v>
      </c>
      <c r="U888" s="1">
        <f>ROUNDUP(2490.91*(1-$F$3),2)</f>
        <v/>
      </c>
      <c r="V888" s="1" t="n">
        <v>1164</v>
      </c>
      <c r="Y888" s="1" t="inlineStr">
        <is>
          <t>48 законов власти (полная версия)</t>
        </is>
      </c>
      <c r="Z888" s="1" t="inlineStr">
        <is>
          <t>16+</t>
        </is>
      </c>
      <c r="AA888" s="12" t="n">
        <v>45811</v>
      </c>
      <c r="AB888" s="1" t="inlineStr">
        <is>
          <t>Общественные науки</t>
        </is>
      </c>
      <c r="AC888" s="1" t="inlineStr">
        <is>
          <t>Политика</t>
        </is>
      </c>
      <c r="AD888" s="1" t="inlineStr">
        <is>
          <t>Государственное управление. Власть</t>
        </is>
      </c>
      <c r="AE888" s="1" t="inlineStr">
        <is>
          <t>офсетная</t>
        </is>
      </c>
      <c r="AG888" s="1" t="n">
        <v>11693680</v>
      </c>
      <c r="AI888" s="1" t="inlineStr">
        <is>
          <t>4901990000</t>
        </is>
      </c>
    </row>
    <row r="889" customFormat="1" s="1">
      <c r="C889" s="1" t="inlineStr">
        <is>
          <t xml:space="preserve">11095730            </t>
        </is>
      </c>
      <c r="D889" s="1" t="inlineStr">
        <is>
          <t>Подарочная полка</t>
        </is>
      </c>
      <c r="E889" s="1" t="inlineStr">
        <is>
          <t>48 законов власти (полная версия). Грин Р.</t>
        </is>
      </c>
      <c r="F889" s="13" t="inlineStr">
        <is>
          <t>См.обл.</t>
        </is>
      </c>
      <c r="G889" s="1" t="inlineStr">
        <is>
          <t>Грин Р.</t>
        </is>
      </c>
      <c r="H889" s="1" t="inlineStr">
        <is>
          <t>70х100/16</t>
        </is>
      </c>
      <c r="I889" s="1" t="n">
        <v>768</v>
      </c>
      <c r="J889" s="1" t="inlineStr">
        <is>
          <t>РИПОЛ Классик</t>
        </is>
      </c>
      <c r="M889" s="1" t="inlineStr">
        <is>
          <t>2026</t>
        </is>
      </c>
      <c r="N889" s="1" t="inlineStr">
        <is>
          <t>П</t>
        </is>
      </c>
      <c r="O889" s="9" t="n">
        <v>3</v>
      </c>
      <c r="P889" s="1">
        <f>ROUNDUP(2590*(1-$F$3),2)</f>
        <v/>
      </c>
      <c r="Q889" s="1" t="inlineStr">
        <is>
          <t> </t>
        </is>
      </c>
      <c r="R889" s="1" t="inlineStr">
        <is>
          <t>978-5-386-15124-9</t>
        </is>
      </c>
      <c r="S889" s="1" t="inlineStr">
        <is>
          <t>9785386151249</t>
        </is>
      </c>
      <c r="T889" s="9" t="n">
        <v>10</v>
      </c>
      <c r="U889" s="1">
        <f>ROUNDUP(2354.55*(1-$F$3),2)</f>
        <v/>
      </c>
      <c r="V889" s="1" t="n">
        <v>1166</v>
      </c>
      <c r="Y889" s="1" t="inlineStr">
        <is>
          <t>48 законов власти (полная версия)</t>
        </is>
      </c>
      <c r="Z889" s="1" t="inlineStr">
        <is>
          <t>16+</t>
        </is>
      </c>
      <c r="AA889" s="12" t="n">
        <v>45243</v>
      </c>
      <c r="AB889" s="1" t="inlineStr">
        <is>
          <t>Общественные науки</t>
        </is>
      </c>
      <c r="AC889" s="1" t="inlineStr">
        <is>
          <t>Политика</t>
        </is>
      </c>
      <c r="AD889" s="1" t="inlineStr">
        <is>
          <t>Государственное управление. Власть</t>
        </is>
      </c>
      <c r="AE889" s="1" t="inlineStr">
        <is>
          <t>офсетная</t>
        </is>
      </c>
      <c r="AG889" s="1" t="n">
        <v>11095730</v>
      </c>
      <c r="AI889" s="1" t="inlineStr">
        <is>
          <t>4901990000</t>
        </is>
      </c>
    </row>
    <row r="890" customFormat="1" s="1">
      <c r="C890" s="1" t="inlineStr">
        <is>
          <t xml:space="preserve">8360960             </t>
        </is>
      </c>
      <c r="D890" s="1" t="inlineStr">
        <is>
          <t>Подарочная полка</t>
        </is>
      </c>
      <c r="E890" s="1" t="inlineStr">
        <is>
          <t>Эффективный Черчилль. Медведев Д.Л.</t>
        </is>
      </c>
      <c r="F890" s="13" t="inlineStr">
        <is>
          <t>См.обл.</t>
        </is>
      </c>
      <c r="G890" s="1" t="inlineStr">
        <is>
          <t>Медведев Д.Л.</t>
        </is>
      </c>
      <c r="H890" s="1" t="inlineStr">
        <is>
          <t>70х100/16</t>
        </is>
      </c>
      <c r="I890" s="1" t="n">
        <v>560</v>
      </c>
      <c r="J890" s="1" t="inlineStr">
        <is>
          <t>РИПОЛ Классик</t>
        </is>
      </c>
      <c r="M890" s="1" t="inlineStr">
        <is>
          <t>2017</t>
        </is>
      </c>
      <c r="N890" s="1" t="inlineStr">
        <is>
          <t>П</t>
        </is>
      </c>
      <c r="O890" s="9" t="n">
        <v>4</v>
      </c>
      <c r="P890" s="1">
        <f>ROUNDUP(2640*(1-$F$3),2)</f>
        <v/>
      </c>
      <c r="Q890" s="1" t="inlineStr">
        <is>
          <t> </t>
        </is>
      </c>
      <c r="R890" s="1" t="inlineStr">
        <is>
          <t>978-5-386-10352-1</t>
        </is>
      </c>
      <c r="S890" s="1" t="inlineStr">
        <is>
          <t>9785386103521</t>
        </is>
      </c>
      <c r="T890" s="9" t="n">
        <v>10</v>
      </c>
      <c r="U890" s="1">
        <f>ROUNDUP(2400*(1-$F$3),2)</f>
        <v/>
      </c>
      <c r="V890" s="1" t="n">
        <v>1041</v>
      </c>
      <c r="Y890" s="1" t="inlineStr">
        <is>
          <t>Эффективный Черчилль</t>
        </is>
      </c>
      <c r="Z890" s="1" t="inlineStr">
        <is>
          <t>12+</t>
        </is>
      </c>
      <c r="AA890" s="12" t="n">
        <v>43074</v>
      </c>
      <c r="AB890" s="1" t="inlineStr">
        <is>
          <t>Общественные науки</t>
        </is>
      </c>
      <c r="AC890" s="1" t="inlineStr">
        <is>
          <t>Политика</t>
        </is>
      </c>
      <c r="AD890" s="1" t="inlineStr">
        <is>
          <t>Политические биографии. Воспоминания</t>
        </is>
      </c>
      <c r="AE890" s="1" t="inlineStr">
        <is>
          <t>офсетная</t>
        </is>
      </c>
      <c r="AG890" s="1" t="n">
        <v>8360960</v>
      </c>
      <c r="AI890" s="1" t="inlineStr">
        <is>
          <t>4901990000</t>
        </is>
      </c>
    </row>
    <row r="891" customFormat="1" s="1">
      <c r="C891" s="1" t="inlineStr">
        <is>
          <t xml:space="preserve">9194200             </t>
        </is>
      </c>
      <c r="D891" s="1" t="inlineStr">
        <is>
          <t>Политическая антропология</t>
        </is>
      </c>
      <c r="E891" s="1" t="inlineStr">
        <is>
          <t>Невинные инквизиторы. Джордж Оруэлл и политическая антропология. Хаустов Д.</t>
        </is>
      </c>
      <c r="F891" s="13" t="inlineStr">
        <is>
          <t>См.обл.</t>
        </is>
      </c>
      <c r="G891" s="1" t="inlineStr">
        <is>
          <t>Хаустов Д.</t>
        </is>
      </c>
      <c r="H891" s="1" t="inlineStr">
        <is>
          <t>60х90/16</t>
        </is>
      </c>
      <c r="I891" s="1" t="n">
        <v>328</v>
      </c>
      <c r="J891" s="1" t="inlineStr">
        <is>
          <t>РИПОЛ Классик</t>
        </is>
      </c>
      <c r="M891" s="1" t="inlineStr">
        <is>
          <t>2019</t>
        </is>
      </c>
      <c r="N891" s="1" t="inlineStr">
        <is>
          <t>О</t>
        </is>
      </c>
      <c r="O891" s="9" t="n">
        <v>12</v>
      </c>
      <c r="P891" s="1">
        <f>ROUNDUP(930*(1-$F$3),2)</f>
        <v/>
      </c>
      <c r="Q891" s="1" t="inlineStr">
        <is>
          <t> </t>
        </is>
      </c>
      <c r="R891" s="1" t="inlineStr">
        <is>
          <t>978-5-386-13447-1</t>
        </is>
      </c>
      <c r="S891" s="1" t="inlineStr">
        <is>
          <t>9785386134471</t>
        </is>
      </c>
      <c r="T891" s="9" t="n">
        <v>10</v>
      </c>
      <c r="U891" s="1">
        <f>ROUNDUP(845.45*(1-$F$3),2)</f>
        <v/>
      </c>
      <c r="V891" s="1" t="n">
        <v>354</v>
      </c>
      <c r="Y891" s="1" t="inlineStr">
        <is>
          <t>Невинные инквизиторы. Джордж Оруэлл и политическая антропология</t>
        </is>
      </c>
      <c r="Z891" s="1" t="inlineStr">
        <is>
          <t>18+</t>
        </is>
      </c>
      <c r="AA891" s="12" t="n">
        <v>43749</v>
      </c>
      <c r="AB891" s="1" t="inlineStr">
        <is>
          <t>Гуманитарные науки</t>
        </is>
      </c>
      <c r="AC891" s="1" t="inlineStr">
        <is>
          <t>Литературоведение</t>
        </is>
      </c>
      <c r="AD891" s="1" t="inlineStr">
        <is>
          <t>Теория литературы. Творческий процесс. Художественный перевод</t>
        </is>
      </c>
      <c r="AE891" s="1" t="inlineStr">
        <is>
          <t>офсетная</t>
        </is>
      </c>
      <c r="AG891" s="1" t="n">
        <v>9194200</v>
      </c>
      <c r="AI891" s="1" t="inlineStr">
        <is>
          <t>4901990000</t>
        </is>
      </c>
    </row>
    <row r="892" customFormat="1" s="1">
      <c r="C892" s="1" t="inlineStr">
        <is>
          <t xml:space="preserve">8756920             </t>
        </is>
      </c>
      <c r="D892" s="1" t="inlineStr">
        <is>
          <t>Политическая история</t>
        </is>
      </c>
      <c r="E892" s="1" t="inlineStr">
        <is>
          <t>Брат вождя, или Увидеть Кима и умереть: повесть. Млечин Л.М.</t>
        </is>
      </c>
      <c r="F892" s="13" t="inlineStr">
        <is>
          <t>См.обл.</t>
        </is>
      </c>
      <c r="G892" s="1" t="inlineStr">
        <is>
          <t>Млечин Л.М.</t>
        </is>
      </c>
      <c r="H892" s="1" t="inlineStr">
        <is>
          <t>84х108/32</t>
        </is>
      </c>
      <c r="I892" s="1" t="n">
        <v>239</v>
      </c>
      <c r="J892" s="1" t="inlineStr">
        <is>
          <t>РИПОЛ Классик</t>
        </is>
      </c>
      <c r="K892" s="1" t="inlineStr">
        <is>
          <t>Пальмира</t>
        </is>
      </c>
      <c r="M892" s="1" t="inlineStr">
        <is>
          <t>2018</t>
        </is>
      </c>
      <c r="N892" s="1" t="inlineStr">
        <is>
          <t>П</t>
        </is>
      </c>
      <c r="O892" s="9" t="n">
        <v>16</v>
      </c>
      <c r="P892" s="1">
        <f>ROUNDUP(675.5*(1-$F$3),2)</f>
        <v/>
      </c>
      <c r="Q892" s="1" t="inlineStr">
        <is>
          <t> </t>
        </is>
      </c>
      <c r="R892" s="1" t="inlineStr">
        <is>
          <t>978-5-386-12008-5</t>
        </is>
      </c>
      <c r="S892" s="1" t="inlineStr">
        <is>
          <t>9785386120085</t>
        </is>
      </c>
      <c r="T892" s="9" t="n">
        <v>10</v>
      </c>
      <c r="U892" s="1">
        <f>ROUNDUP(614.09*(1-$F$3),2)</f>
        <v/>
      </c>
      <c r="V892" s="1" t="n">
        <v>307</v>
      </c>
      <c r="Y892" s="1" t="inlineStr">
        <is>
          <t>Брат вождя, или Увидеть Кима и умереть: повесть</t>
        </is>
      </c>
      <c r="Z892" s="1" t="inlineStr">
        <is>
          <t>12+</t>
        </is>
      </c>
      <c r="AA892" s="12" t="n">
        <v>43355</v>
      </c>
      <c r="AB892" s="1" t="inlineStr">
        <is>
          <t>Художественная литература</t>
        </is>
      </c>
      <c r="AC892" s="1" t="inlineStr">
        <is>
          <t>Детективы. Боевики. Триллеры</t>
        </is>
      </c>
      <c r="AD892" s="1" t="inlineStr">
        <is>
          <t>Русский детектив</t>
        </is>
      </c>
      <c r="AE892" s="1" t="inlineStr">
        <is>
          <t> </t>
        </is>
      </c>
      <c r="AG892" s="1" t="n">
        <v>8756920</v>
      </c>
      <c r="AI892" s="1" t="inlineStr">
        <is>
          <t>4901990000</t>
        </is>
      </c>
    </row>
    <row r="893" customFormat="1" s="1">
      <c r="C893" s="1" t="inlineStr">
        <is>
          <t xml:space="preserve">8606860             </t>
        </is>
      </c>
      <c r="D893" s="1" t="inlineStr">
        <is>
          <t>Полумир</t>
        </is>
      </c>
      <c r="E893" s="1" t="inlineStr">
        <is>
          <t>Восхождение Рэнсом сити: роман. Гилман Ф.</t>
        </is>
      </c>
      <c r="F893" s="13" t="inlineStr">
        <is>
          <t>См.обл.</t>
        </is>
      </c>
      <c r="G893" s="1" t="inlineStr">
        <is>
          <t>Гилман Ф.</t>
        </is>
      </c>
      <c r="H893" s="1" t="inlineStr">
        <is>
          <t>60х90/16</t>
        </is>
      </c>
      <c r="I893" s="1" t="n">
        <v>512</v>
      </c>
      <c r="J893" s="1" t="inlineStr">
        <is>
          <t>РИПОЛ Классик</t>
        </is>
      </c>
      <c r="M893" s="1" t="inlineStr">
        <is>
          <t>2019</t>
        </is>
      </c>
      <c r="N893" s="1" t="inlineStr">
        <is>
          <t>П</t>
        </is>
      </c>
      <c r="O893" s="9" t="n">
        <v>8</v>
      </c>
      <c r="P893" s="1">
        <f>ROUNDUP(1430*(1-$F$3),2)</f>
        <v/>
      </c>
      <c r="Q893" s="1" t="inlineStr">
        <is>
          <t> </t>
        </is>
      </c>
      <c r="R893" s="1" t="inlineStr">
        <is>
          <t>978-5-386-10580-8</t>
        </is>
      </c>
      <c r="S893" s="1" t="inlineStr">
        <is>
          <t>9785386105808</t>
        </is>
      </c>
      <c r="T893" s="9" t="n">
        <v>10</v>
      </c>
      <c r="U893" s="1">
        <f>ROUNDUP(1300*(1-$F$3),2)</f>
        <v/>
      </c>
      <c r="V893" s="1" t="n">
        <v>651</v>
      </c>
      <c r="Y893" s="1" t="inlineStr">
        <is>
          <t>Восхождение Рэнсом сити: роман</t>
        </is>
      </c>
      <c r="Z893" s="1" t="inlineStr">
        <is>
          <t>16+</t>
        </is>
      </c>
      <c r="AA893" s="12" t="n">
        <v>43208</v>
      </c>
      <c r="AB893" s="1" t="inlineStr">
        <is>
          <t>Художественная литература</t>
        </is>
      </c>
      <c r="AC893" s="1" t="inlineStr">
        <is>
          <t>Фантастика. Мистика. Ужасы</t>
        </is>
      </c>
      <c r="AD893" s="1" t="inlineStr">
        <is>
          <t>Зарубежная фантастика</t>
        </is>
      </c>
      <c r="AE893" s="1" t="inlineStr">
        <is>
          <t>офсетная</t>
        </is>
      </c>
      <c r="AG893" s="1" t="n">
        <v>8606860</v>
      </c>
      <c r="AI893" s="1" t="inlineStr">
        <is>
          <t>4901990000</t>
        </is>
      </c>
      <c r="AJ893" s="1" t="inlineStr">
        <is>
          <t>Зпв</t>
        </is>
      </c>
    </row>
    <row r="894" customFormat="1" s="1">
      <c r="C894" s="1" t="inlineStr">
        <is>
          <t xml:space="preserve">8606670             </t>
        </is>
      </c>
      <c r="D894" s="1" t="inlineStr">
        <is>
          <t>Полумир</t>
        </is>
      </c>
      <c r="E894" s="1" t="inlineStr">
        <is>
          <t>Расколотый мир: роман. Гилман Ф.</t>
        </is>
      </c>
      <c r="F894" s="13" t="inlineStr">
        <is>
          <t>См.обл.</t>
        </is>
      </c>
      <c r="G894" s="1" t="inlineStr">
        <is>
          <t>Гилман Ф.</t>
        </is>
      </c>
      <c r="H894" s="1" t="inlineStr">
        <is>
          <t>60х90/16</t>
        </is>
      </c>
      <c r="I894" s="1" t="n">
        <v>520</v>
      </c>
      <c r="J894" s="1" t="inlineStr">
        <is>
          <t>РИПОЛ Классик</t>
        </is>
      </c>
      <c r="M894" s="1" t="inlineStr">
        <is>
          <t>2018</t>
        </is>
      </c>
      <c r="N894" s="1" t="inlineStr">
        <is>
          <t>П</t>
        </is>
      </c>
      <c r="O894" s="9" t="n">
        <v>8</v>
      </c>
      <c r="P894" s="1">
        <f>ROUNDUP(1310.5*(1-$F$3),2)</f>
        <v/>
      </c>
      <c r="Q894" s="1" t="inlineStr">
        <is>
          <t> </t>
        </is>
      </c>
      <c r="R894" s="1" t="inlineStr">
        <is>
          <t>978-5-386-10587-7</t>
        </is>
      </c>
      <c r="S894" s="1" t="inlineStr">
        <is>
          <t>9785386105877</t>
        </is>
      </c>
      <c r="T894" s="9" t="n">
        <v>10</v>
      </c>
      <c r="U894" s="1">
        <f>ROUNDUP(1191.36*(1-$F$3),2)</f>
        <v/>
      </c>
      <c r="V894" s="1" t="n">
        <v>652</v>
      </c>
      <c r="Y894" s="1" t="inlineStr">
        <is>
          <t>Расколотый мир: роман</t>
        </is>
      </c>
      <c r="Z894" s="1" t="inlineStr">
        <is>
          <t>16+</t>
        </is>
      </c>
      <c r="AA894" s="12" t="n">
        <v>43209</v>
      </c>
      <c r="AB894" s="1" t="inlineStr">
        <is>
          <t>Художественная литература</t>
        </is>
      </c>
      <c r="AC894" s="1" t="inlineStr">
        <is>
          <t>Фантастика. Мистика. Ужасы</t>
        </is>
      </c>
      <c r="AD894" s="1" t="inlineStr">
        <is>
          <t>Зарубежная фантастика</t>
        </is>
      </c>
      <c r="AE894" s="1" t="inlineStr">
        <is>
          <t>офсетная</t>
        </is>
      </c>
      <c r="AG894" s="1" t="n">
        <v>8606670</v>
      </c>
      <c r="AI894" s="1" t="inlineStr">
        <is>
          <t>4901990000</t>
        </is>
      </c>
    </row>
    <row r="895" customFormat="1" s="1">
      <c r="C895" s="1" t="inlineStr">
        <is>
          <t xml:space="preserve">11224810            </t>
        </is>
      </c>
      <c r="D895" s="1" t="inlineStr">
        <is>
          <t>Поэзия для души</t>
        </is>
      </c>
      <c r="E895" s="1" t="inlineStr">
        <is>
          <t>Вы мне нравитесь, взрослая женщина. Рубальская Л.А.</t>
        </is>
      </c>
      <c r="F895" s="13" t="inlineStr">
        <is>
          <t>См.обл.</t>
        </is>
      </c>
      <c r="G895" s="1" t="inlineStr">
        <is>
          <t>Рубальская Л.А.</t>
        </is>
      </c>
      <c r="H895" s="1" t="inlineStr">
        <is>
          <t>84х108/32</t>
        </is>
      </c>
      <c r="I895" s="1" t="n">
        <v>384</v>
      </c>
      <c r="J895" s="1" t="inlineStr">
        <is>
          <t>РИПОЛ Классик</t>
        </is>
      </c>
      <c r="M895" s="1" t="inlineStr">
        <is>
          <t>2026</t>
        </is>
      </c>
      <c r="N895" s="1" t="inlineStr">
        <is>
          <t>П</t>
        </is>
      </c>
      <c r="O895" s="9" t="n">
        <v>10</v>
      </c>
      <c r="P895" s="1">
        <f>ROUNDUP(1190*(1-$F$3),2)</f>
        <v/>
      </c>
      <c r="Q895" s="1" t="inlineStr">
        <is>
          <t> </t>
        </is>
      </c>
      <c r="R895" s="1" t="inlineStr">
        <is>
          <t>978-5-386-15176-8</t>
        </is>
      </c>
      <c r="S895" s="1" t="inlineStr">
        <is>
          <t>9785386151768</t>
        </is>
      </c>
      <c r="T895" s="9" t="n">
        <v>10</v>
      </c>
      <c r="U895" s="1">
        <f>ROUNDUP(1081.82*(1-$F$3),2)</f>
        <v/>
      </c>
      <c r="V895" s="1" t="n">
        <v>488</v>
      </c>
      <c r="Y895" s="1" t="inlineStr">
        <is>
          <t>Вы мне нравитесь, взрослая женщина</t>
        </is>
      </c>
      <c r="Z895" s="1" t="inlineStr">
        <is>
          <t>12+</t>
        </is>
      </c>
      <c r="AA895" s="12" t="n">
        <v>45351</v>
      </c>
      <c r="AB895" s="1" t="inlineStr">
        <is>
          <t>Художественная литература</t>
        </is>
      </c>
      <c r="AC895" s="1" t="inlineStr">
        <is>
          <t>Поэзия</t>
        </is>
      </c>
      <c r="AD895" s="1" t="inlineStr">
        <is>
          <t>Русская поэзия</t>
        </is>
      </c>
      <c r="AE895" s="1" t="inlineStr">
        <is>
          <t>офсетная</t>
        </is>
      </c>
      <c r="AG895" s="1" t="n">
        <v>11224810</v>
      </c>
      <c r="AI895" s="1" t="inlineStr">
        <is>
          <t>4901990000</t>
        </is>
      </c>
    </row>
    <row r="896" customFormat="1" s="1">
      <c r="C896" s="1" t="inlineStr">
        <is>
          <t xml:space="preserve">10845060            </t>
        </is>
      </c>
      <c r="D896" s="1" t="inlineStr">
        <is>
          <t>Поэзия для души</t>
        </is>
      </c>
      <c r="E896" s="1" t="inlineStr">
        <is>
          <t>На краю осени: стихи. Рубальская Л.А.</t>
        </is>
      </c>
      <c r="F896" s="13" t="inlineStr">
        <is>
          <t>См.обл.</t>
        </is>
      </c>
      <c r="G896" s="1" t="inlineStr">
        <is>
          <t>Рубальская Л.А.</t>
        </is>
      </c>
      <c r="H896" s="1" t="inlineStr">
        <is>
          <t>84х108/32</t>
        </is>
      </c>
      <c r="I896" s="1" t="n">
        <v>352</v>
      </c>
      <c r="J896" s="1" t="inlineStr">
        <is>
          <t>РИПОЛ Классик</t>
        </is>
      </c>
      <c r="M896" s="1" t="inlineStr">
        <is>
          <t>2026</t>
        </is>
      </c>
      <c r="N896" s="1" t="inlineStr">
        <is>
          <t>П</t>
        </is>
      </c>
      <c r="O896" s="9" t="n">
        <v>6</v>
      </c>
      <c r="P896" s="1">
        <f>ROUNDUP(1110*(1-$F$3),2)</f>
        <v/>
      </c>
      <c r="Q896" s="1" t="inlineStr">
        <is>
          <t> </t>
        </is>
      </c>
      <c r="R896" s="1" t="inlineStr">
        <is>
          <t>978-5-386-14988-8</t>
        </is>
      </c>
      <c r="S896" s="1" t="inlineStr">
        <is>
          <t>9785386149888</t>
        </is>
      </c>
      <c r="T896" s="9" t="n">
        <v>10</v>
      </c>
      <c r="U896" s="1">
        <f>ROUNDUP(1009.09*(1-$F$3),2)</f>
        <v/>
      </c>
      <c r="V896" s="1" t="n">
        <v>466</v>
      </c>
      <c r="Y896" s="1" t="inlineStr">
        <is>
          <t>На краю осени: стихи</t>
        </is>
      </c>
      <c r="Z896" s="1" t="inlineStr">
        <is>
          <t>12+</t>
        </is>
      </c>
      <c r="AA896" s="12" t="n">
        <v>45005</v>
      </c>
      <c r="AB896" s="1" t="inlineStr">
        <is>
          <t>Художественная литература</t>
        </is>
      </c>
      <c r="AC896" s="1" t="inlineStr">
        <is>
          <t>Поэзия</t>
        </is>
      </c>
      <c r="AD896" s="1" t="inlineStr">
        <is>
          <t>Русская поэзия</t>
        </is>
      </c>
      <c r="AE896" s="1" t="inlineStr">
        <is>
          <t>офсетная</t>
        </is>
      </c>
      <c r="AG896" s="1" t="n">
        <v>10845060</v>
      </c>
      <c r="AI896" s="1" t="inlineStr">
        <is>
          <t>4901990000</t>
        </is>
      </c>
    </row>
    <row r="897" customFormat="1" s="1">
      <c r="C897" s="1" t="inlineStr">
        <is>
          <t xml:space="preserve">9733320             </t>
        </is>
      </c>
      <c r="D897" s="1" t="inlineStr">
        <is>
          <t>Поэтический Парнас</t>
        </is>
      </c>
      <c r="E897" s="1" t="inlineStr">
        <is>
          <t>Да будет день!. Цветаева М.И.</t>
        </is>
      </c>
      <c r="F897" s="13" t="inlineStr">
        <is>
          <t>См.обл.</t>
        </is>
      </c>
      <c r="G897" s="1" t="inlineStr">
        <is>
          <t>Цветаева М.И.</t>
        </is>
      </c>
      <c r="H897" s="1" t="inlineStr">
        <is>
          <t>84х108/32</t>
        </is>
      </c>
      <c r="I897" s="1" t="n">
        <v>320</v>
      </c>
      <c r="J897" s="1" t="inlineStr">
        <is>
          <t>РИПОЛ Классик</t>
        </is>
      </c>
      <c r="M897" s="1" t="inlineStr">
        <is>
          <t>2021</t>
        </is>
      </c>
      <c r="N897" s="1" t="inlineStr">
        <is>
          <t>П</t>
        </is>
      </c>
      <c r="O897" s="9" t="n">
        <v>14</v>
      </c>
      <c r="P897" s="1">
        <f>ROUNDUP(1020*(1-$F$3),2)</f>
        <v/>
      </c>
      <c r="Q897" s="1" t="inlineStr">
        <is>
          <t> </t>
        </is>
      </c>
      <c r="R897" s="1" t="inlineStr">
        <is>
          <t>978-5-386-14342-8</t>
        </is>
      </c>
      <c r="S897" s="1" t="inlineStr">
        <is>
          <t>9785386143428</t>
        </is>
      </c>
      <c r="T897" s="9" t="n">
        <v>10</v>
      </c>
      <c r="U897" s="1">
        <f>ROUNDUP(927.27*(1-$F$3),2)</f>
        <v/>
      </c>
      <c r="V897" s="1" t="n">
        <v>345</v>
      </c>
      <c r="Y897" s="1" t="inlineStr">
        <is>
          <t>Да будет день!</t>
        </is>
      </c>
      <c r="Z897" s="1" t="inlineStr">
        <is>
          <t>12+</t>
        </is>
      </c>
      <c r="AA897" s="12" t="n">
        <v>44389</v>
      </c>
      <c r="AB897" s="1" t="inlineStr">
        <is>
          <t>Художественная литература</t>
        </is>
      </c>
      <c r="AC897" s="1" t="inlineStr">
        <is>
          <t>Поэзия</t>
        </is>
      </c>
      <c r="AD897" s="1" t="inlineStr">
        <is>
          <t>Русская поэзия</t>
        </is>
      </c>
      <c r="AE897" s="1" t="inlineStr">
        <is>
          <t>офсетная</t>
        </is>
      </c>
      <c r="AG897" s="1" t="n">
        <v>9733320</v>
      </c>
      <c r="AI897" s="1" t="inlineStr">
        <is>
          <t>4901990000</t>
        </is>
      </c>
    </row>
    <row r="898" customFormat="1" s="1">
      <c r="C898" s="1" t="inlineStr">
        <is>
          <t xml:space="preserve">9733300             </t>
        </is>
      </c>
      <c r="D898" s="1" t="inlineStr">
        <is>
          <t>Поэтический Парнас</t>
        </is>
      </c>
      <c r="E898" s="1" t="inlineStr">
        <is>
          <t>Жемчужины любовной лирики. Сост. Филиппов А.</t>
        </is>
      </c>
      <c r="F898" s="13" t="inlineStr">
        <is>
          <t>См.обл.</t>
        </is>
      </c>
      <c r="G898" s="1" t="inlineStr">
        <is>
          <t>Сост. Филиппов А.</t>
        </is>
      </c>
      <c r="H898" s="1" t="inlineStr">
        <is>
          <t>84х108/32</t>
        </is>
      </c>
      <c r="I898" s="1" t="n">
        <v>304</v>
      </c>
      <c r="J898" s="1" t="inlineStr">
        <is>
          <t>РИПОЛ Классик</t>
        </is>
      </c>
      <c r="M898" s="1" t="inlineStr">
        <is>
          <t>2021</t>
        </is>
      </c>
      <c r="N898" s="1" t="inlineStr">
        <is>
          <t>П</t>
        </is>
      </c>
      <c r="O898" s="9" t="n">
        <v>10</v>
      </c>
      <c r="P898" s="1">
        <f>ROUNDUP(990*(1-$F$3),2)</f>
        <v/>
      </c>
      <c r="Q898" s="1" t="inlineStr">
        <is>
          <t> </t>
        </is>
      </c>
      <c r="R898" s="1" t="inlineStr">
        <is>
          <t>978-5-386-14363-3</t>
        </is>
      </c>
      <c r="S898" s="1" t="inlineStr">
        <is>
          <t>9785386143633</t>
        </is>
      </c>
      <c r="T898" s="9" t="n">
        <v>10</v>
      </c>
      <c r="U898" s="1">
        <f>ROUNDUP(900*(1-$F$3),2)</f>
        <v/>
      </c>
      <c r="V898" s="1" t="n">
        <v>341</v>
      </c>
      <c r="Y898" s="1" t="inlineStr">
        <is>
          <t>Жемчужины любовной лирики</t>
        </is>
      </c>
      <c r="Z898" s="1" t="inlineStr">
        <is>
          <t>12+</t>
        </is>
      </c>
      <c r="AA898" s="12" t="n">
        <v>44388</v>
      </c>
      <c r="AB898" s="1" t="inlineStr">
        <is>
          <t>Художественная литература</t>
        </is>
      </c>
      <c r="AC898" s="1" t="inlineStr">
        <is>
          <t>Поэзия</t>
        </is>
      </c>
      <c r="AD898" s="1" t="inlineStr">
        <is>
          <t>Русская поэзия</t>
        </is>
      </c>
      <c r="AE898" s="1" t="inlineStr">
        <is>
          <t>офсетная</t>
        </is>
      </c>
      <c r="AG898" s="1" t="n">
        <v>9733300</v>
      </c>
      <c r="AI898" s="1" t="inlineStr">
        <is>
          <t>4901990000</t>
        </is>
      </c>
    </row>
    <row r="899" customFormat="1" s="1">
      <c r="C899" s="1" t="inlineStr">
        <is>
          <t xml:space="preserve">9734040             </t>
        </is>
      </c>
      <c r="D899" s="1" t="inlineStr">
        <is>
          <t>Поэтический Парнас</t>
        </is>
      </c>
      <c r="E899" s="1" t="inlineStr">
        <is>
          <t>Жемчужины русской поэзии. (начало - середина XIX века). Сост. Филиппов А.</t>
        </is>
      </c>
      <c r="F899" s="13" t="inlineStr">
        <is>
          <t>См.обл.</t>
        </is>
      </c>
      <c r="G899" s="1" t="inlineStr">
        <is>
          <t>Сост. Филиппов А.</t>
        </is>
      </c>
      <c r="H899" s="1" t="inlineStr">
        <is>
          <t>84х108/32</t>
        </is>
      </c>
      <c r="I899" s="1" t="n">
        <v>272</v>
      </c>
      <c r="J899" s="1" t="inlineStr">
        <is>
          <t>РИПОЛ Классик</t>
        </is>
      </c>
      <c r="M899" s="1" t="inlineStr">
        <is>
          <t>2025</t>
        </is>
      </c>
      <c r="N899" s="1" t="inlineStr">
        <is>
          <t>П</t>
        </is>
      </c>
      <c r="O899" s="9" t="n">
        <v>7</v>
      </c>
      <c r="P899" s="1">
        <f>ROUNDUP(1100*(1-$F$3),2)</f>
        <v/>
      </c>
      <c r="Q899" s="1" t="inlineStr">
        <is>
          <t> </t>
        </is>
      </c>
      <c r="R899" s="1" t="inlineStr">
        <is>
          <t>978-5-386-14345-9</t>
        </is>
      </c>
      <c r="S899" s="1" t="inlineStr">
        <is>
          <t>9785386143459</t>
        </is>
      </c>
      <c r="T899" s="9" t="n">
        <v>10</v>
      </c>
      <c r="U899" s="1">
        <f>ROUNDUP(1000*(1-$F$3),2)</f>
        <v/>
      </c>
      <c r="V899" s="1" t="n">
        <v>321</v>
      </c>
      <c r="Y899" s="1" t="inlineStr">
        <is>
          <t>Жемчужины русской поэзии. (начало - середина XIX века)</t>
        </is>
      </c>
      <c r="Z899" s="1" t="inlineStr">
        <is>
          <t>12+</t>
        </is>
      </c>
      <c r="AA899" s="12" t="n">
        <v>44388</v>
      </c>
      <c r="AB899" s="1" t="inlineStr">
        <is>
          <t>Художественная литература</t>
        </is>
      </c>
      <c r="AC899" s="1" t="inlineStr">
        <is>
          <t>Поэзия</t>
        </is>
      </c>
      <c r="AD899" s="1" t="inlineStr">
        <is>
          <t>Русская поэзия</t>
        </is>
      </c>
      <c r="AE899" s="1" t="inlineStr">
        <is>
          <t>офсетная</t>
        </is>
      </c>
      <c r="AG899" s="1" t="n">
        <v>9734040</v>
      </c>
      <c r="AI899" s="1" t="inlineStr">
        <is>
          <t>4901990000</t>
        </is>
      </c>
    </row>
    <row r="900" customFormat="1" s="1">
      <c r="C900" s="1" t="inlineStr">
        <is>
          <t xml:space="preserve">9733330             </t>
        </is>
      </c>
      <c r="D900" s="1" t="inlineStr">
        <is>
          <t>Поэтический Парнас</t>
        </is>
      </c>
      <c r="E900" s="1" t="inlineStr">
        <is>
          <t>Потускнел на небе синий лак…. Ахматова А.А.</t>
        </is>
      </c>
      <c r="F900" s="13" t="inlineStr">
        <is>
          <t>См.обл.</t>
        </is>
      </c>
      <c r="G900" s="1" t="inlineStr">
        <is>
          <t>Ахматова А.А.</t>
        </is>
      </c>
      <c r="H900" s="1" t="inlineStr">
        <is>
          <t>84х108/32</t>
        </is>
      </c>
      <c r="I900" s="1" t="n">
        <v>288</v>
      </c>
      <c r="J900" s="1" t="inlineStr">
        <is>
          <t>РИПОЛ Классик</t>
        </is>
      </c>
      <c r="M900" s="1" t="inlineStr">
        <is>
          <t>2021</t>
        </is>
      </c>
      <c r="N900" s="1" t="inlineStr">
        <is>
          <t>П</t>
        </is>
      </c>
      <c r="O900" s="9" t="n">
        <v>14</v>
      </c>
      <c r="P900" s="1">
        <f>ROUNDUP(942*(1-$F$3),2)</f>
        <v/>
      </c>
      <c r="Q900" s="1" t="inlineStr">
        <is>
          <t> </t>
        </is>
      </c>
      <c r="R900" s="1" t="inlineStr">
        <is>
          <t>978-5-386-14341-1</t>
        </is>
      </c>
      <c r="S900" s="1" t="inlineStr">
        <is>
          <t>9785386143411</t>
        </is>
      </c>
      <c r="T900" s="9" t="n">
        <v>10</v>
      </c>
      <c r="U900" s="1">
        <f>ROUNDUP(856.36*(1-$F$3),2)</f>
        <v/>
      </c>
      <c r="V900" s="1" t="n">
        <v>325</v>
      </c>
      <c r="Y900" s="1" t="inlineStr">
        <is>
          <t>Потускнел на небе синий лак…</t>
        </is>
      </c>
      <c r="Z900" s="1" t="inlineStr">
        <is>
          <t>12+</t>
        </is>
      </c>
      <c r="AA900" s="12" t="n">
        <v>44389</v>
      </c>
      <c r="AB900" s="1" t="inlineStr">
        <is>
          <t>Художественная литература</t>
        </is>
      </c>
      <c r="AC900" s="1" t="inlineStr">
        <is>
          <t>Поэзия</t>
        </is>
      </c>
      <c r="AD900" s="1" t="inlineStr">
        <is>
          <t>Русская поэзия</t>
        </is>
      </c>
      <c r="AE900" s="1" t="inlineStr">
        <is>
          <t>офсетная</t>
        </is>
      </c>
      <c r="AG900" s="1" t="n">
        <v>9733330</v>
      </c>
      <c r="AI900" s="1" t="inlineStr">
        <is>
          <t>4901990000</t>
        </is>
      </c>
    </row>
    <row r="901" customFormat="1" s="1">
      <c r="C901" s="1" t="inlineStr">
        <is>
          <t xml:space="preserve">9735210             </t>
        </is>
      </c>
      <c r="D901" s="1" t="inlineStr">
        <is>
          <t>Поэтический Парнас</t>
        </is>
      </c>
      <c r="E901" s="1" t="inlineStr">
        <is>
          <t>Серебряный ветер. Есенин С.А</t>
        </is>
      </c>
      <c r="F901" s="13" t="inlineStr">
        <is>
          <t>См.обл.</t>
        </is>
      </c>
      <c r="G901" s="1" t="inlineStr">
        <is>
          <t>Есенин С.А</t>
        </is>
      </c>
      <c r="H901" s="1" t="inlineStr">
        <is>
          <t>84х108/32</t>
        </is>
      </c>
      <c r="I901" s="1" t="n">
        <v>336</v>
      </c>
      <c r="J901" s="1" t="inlineStr">
        <is>
          <t>РИПОЛ Классик</t>
        </is>
      </c>
      <c r="M901" s="1" t="inlineStr">
        <is>
          <t>2021</t>
        </is>
      </c>
      <c r="N901" s="1" t="inlineStr">
        <is>
          <t>П</t>
        </is>
      </c>
      <c r="O901" s="9" t="n">
        <v>10</v>
      </c>
      <c r="P901" s="1">
        <f>ROUNDUP(956.8*(1-$F$3),2)</f>
        <v/>
      </c>
      <c r="Q901" s="1" t="inlineStr">
        <is>
          <t> </t>
        </is>
      </c>
      <c r="R901" s="1" t="inlineStr">
        <is>
          <t>978-5-386-14343-5</t>
        </is>
      </c>
      <c r="S901" s="1" t="inlineStr">
        <is>
          <t>9785386143435</t>
        </is>
      </c>
      <c r="T901" s="9" t="n">
        <v>10</v>
      </c>
      <c r="U901" s="1">
        <f>ROUNDUP(869.82*(1-$F$3),2)</f>
        <v/>
      </c>
      <c r="V901" s="1" t="n">
        <v>363</v>
      </c>
      <c r="Y901" s="1" t="inlineStr">
        <is>
          <t>Серебряный ветер</t>
        </is>
      </c>
      <c r="Z901" s="1" t="inlineStr">
        <is>
          <t>12+</t>
        </is>
      </c>
      <c r="AA901" s="12" t="n">
        <v>44389</v>
      </c>
      <c r="AB901" s="1" t="inlineStr">
        <is>
          <t>Художественная литература</t>
        </is>
      </c>
      <c r="AC901" s="1" t="inlineStr">
        <is>
          <t>Поэзия</t>
        </is>
      </c>
      <c r="AD901" s="1" t="inlineStr">
        <is>
          <t>Русская поэзия</t>
        </is>
      </c>
      <c r="AE901" s="1" t="inlineStr">
        <is>
          <t>офсетная</t>
        </is>
      </c>
      <c r="AG901" s="1" t="n">
        <v>9735210</v>
      </c>
      <c r="AI901" s="1" t="inlineStr">
        <is>
          <t>4901990000</t>
        </is>
      </c>
    </row>
    <row r="902" customFormat="1" s="1">
      <c r="C902" s="1" t="inlineStr">
        <is>
          <t xml:space="preserve">9703950             </t>
        </is>
      </c>
      <c r="D902" s="1" t="inlineStr">
        <is>
          <t>Праздничная серия</t>
        </is>
      </c>
      <c r="E902" s="1" t="inlineStr">
        <is>
          <t>Вкус шалфея: роман. Сантос Й.С.</t>
        </is>
      </c>
      <c r="F902" s="13" t="inlineStr">
        <is>
          <t>См.обл.</t>
        </is>
      </c>
      <c r="G902" s="1" t="inlineStr">
        <is>
          <t>Сантос Й.С.</t>
        </is>
      </c>
      <c r="H902" s="1" t="inlineStr">
        <is>
          <t>60х90/16</t>
        </is>
      </c>
      <c r="I902" s="1" t="n">
        <v>320</v>
      </c>
      <c r="J902" s="1" t="inlineStr">
        <is>
          <t>РИПОЛ Классик</t>
        </is>
      </c>
      <c r="M902" s="1" t="inlineStr">
        <is>
          <t>2021</t>
        </is>
      </c>
      <c r="N902" s="1" t="inlineStr">
        <is>
          <t>П</t>
        </is>
      </c>
      <c r="O902" s="9" t="n">
        <v>10</v>
      </c>
      <c r="P902" s="1">
        <f>ROUNDUP(1104.2*(1-$F$3),2)</f>
        <v/>
      </c>
      <c r="Q902" s="1" t="inlineStr">
        <is>
          <t> </t>
        </is>
      </c>
      <c r="R902" s="1" t="inlineStr">
        <is>
          <t>978-5-386-14243-8</t>
        </is>
      </c>
      <c r="S902" s="1" t="inlineStr">
        <is>
          <t>9785386142438</t>
        </is>
      </c>
      <c r="T902" s="9" t="n">
        <v>10</v>
      </c>
      <c r="U902" s="1">
        <f>ROUNDUP(1003.82*(1-$F$3),2)</f>
        <v/>
      </c>
      <c r="V902" s="1" t="n">
        <v>438</v>
      </c>
      <c r="Y902" s="1" t="inlineStr">
        <is>
          <t>Вкус шалфея: роман</t>
        </is>
      </c>
      <c r="Z902" s="1" t="inlineStr">
        <is>
          <t>16+</t>
        </is>
      </c>
      <c r="AA902" s="12" t="n">
        <v>44341</v>
      </c>
      <c r="AB902" s="1" t="inlineStr">
        <is>
          <t>Художественная литература</t>
        </is>
      </c>
      <c r="AC902" s="1" t="inlineStr">
        <is>
          <t>Зарубежная литература</t>
        </is>
      </c>
      <c r="AD902" s="1" t="inlineStr">
        <is>
          <t>Литература Америки и Австралии</t>
        </is>
      </c>
      <c r="AE902" s="1" t="inlineStr">
        <is>
          <t>офсетная</t>
        </is>
      </c>
      <c r="AG902" s="1" t="n">
        <v>9703950</v>
      </c>
      <c r="AI902" s="1" t="inlineStr">
        <is>
          <t>4901990000</t>
        </is>
      </c>
    </row>
    <row r="903" customFormat="1" s="1">
      <c r="C903" s="1" t="inlineStr">
        <is>
          <t xml:space="preserve">7199580             </t>
        </is>
      </c>
      <c r="D903" s="1" t="inlineStr">
        <is>
          <t>Приключения Петрова и Васечкина</t>
        </is>
      </c>
      <c r="E903" s="1" t="inlineStr">
        <is>
          <t>Веселые истории про Петрова и Васечкина. Алеников В.М.</t>
        </is>
      </c>
      <c r="F903" s="13" t="inlineStr">
        <is>
          <t>См.обл.</t>
        </is>
      </c>
      <c r="G903" s="1" t="inlineStr">
        <is>
          <t>Алеников В.М.</t>
        </is>
      </c>
      <c r="H903" s="1" t="inlineStr">
        <is>
          <t>60х90/16</t>
        </is>
      </c>
      <c r="I903" s="1" t="n">
        <v>224</v>
      </c>
      <c r="J903" s="1" t="inlineStr">
        <is>
          <t>РИПОЛ Классик</t>
        </is>
      </c>
      <c r="M903" s="1" t="inlineStr">
        <is>
          <t>2026</t>
        </is>
      </c>
      <c r="N903" s="1" t="inlineStr">
        <is>
          <t>П</t>
        </is>
      </c>
      <c r="O903" s="9" t="n">
        <v>10</v>
      </c>
      <c r="P903" s="1">
        <f>ROUNDUP(990*(1-$F$3),2)</f>
        <v/>
      </c>
      <c r="Q903" s="1" t="inlineStr">
        <is>
          <t> </t>
        </is>
      </c>
      <c r="R903" s="1" t="inlineStr">
        <is>
          <t>978-5-386-08827-9</t>
        </is>
      </c>
      <c r="S903" s="1" t="inlineStr">
        <is>
          <t>9785386088279</t>
        </is>
      </c>
      <c r="T903" s="9" t="n">
        <v>10</v>
      </c>
      <c r="U903" s="1">
        <f>ROUNDUP(900*(1-$F$3),2)</f>
        <v/>
      </c>
      <c r="V903" s="1" t="n">
        <v>381</v>
      </c>
      <c r="Y903" s="1" t="inlineStr">
        <is>
          <t>Веселые истории про Петрова и Васечкина</t>
        </is>
      </c>
      <c r="Z903" s="1" t="inlineStr">
        <is>
          <t>6 +</t>
        </is>
      </c>
      <c r="AA903" s="12" t="n">
        <v>42278</v>
      </c>
      <c r="AB903" s="1" t="inlineStr">
        <is>
          <t>Детская литература</t>
        </is>
      </c>
      <c r="AC903" s="1" t="inlineStr">
        <is>
          <t>Художественная литература</t>
        </is>
      </c>
      <c r="AD903" s="1" t="inlineStr">
        <is>
          <t>Приключения</t>
        </is>
      </c>
      <c r="AE903" s="1" t="inlineStr">
        <is>
          <t>офсетная</t>
        </is>
      </c>
      <c r="AG903" s="1" t="n">
        <v>7199580</v>
      </c>
      <c r="AI903" s="1" t="inlineStr">
        <is>
          <t>4901990000</t>
        </is>
      </c>
    </row>
    <row r="904" customFormat="1" s="1">
      <c r="C904" s="1" t="inlineStr">
        <is>
          <t xml:space="preserve">9560760             </t>
        </is>
      </c>
      <c r="D904" s="1" t="inlineStr">
        <is>
          <t>Природный целитель</t>
        </is>
      </c>
      <c r="E904" s="1" t="inlineStr">
        <is>
          <t>Волшебники здоровья. Глина, шунгит, соль. Уникальное практическое руководство. Сост. Николаева Ю.Н.</t>
        </is>
      </c>
      <c r="F904" s="13" t="inlineStr">
        <is>
          <t>См.обл.</t>
        </is>
      </c>
      <c r="G904" s="1" t="inlineStr">
        <is>
          <t>Сост. Николаева Ю.Н.</t>
        </is>
      </c>
      <c r="H904" s="1" t="inlineStr">
        <is>
          <t>84х108/32</t>
        </is>
      </c>
      <c r="I904" s="1" t="n">
        <v>192</v>
      </c>
      <c r="J904" s="1" t="inlineStr">
        <is>
          <t>РИПОЛ Классик</t>
        </is>
      </c>
      <c r="M904" s="1" t="inlineStr">
        <is>
          <t>2020</t>
        </is>
      </c>
      <c r="N904" s="1" t="inlineStr">
        <is>
          <t>П</t>
        </is>
      </c>
      <c r="O904" s="9" t="n">
        <v>14</v>
      </c>
      <c r="P904" s="1">
        <f>ROUNDUP(860*(1-$F$3),2)</f>
        <v/>
      </c>
      <c r="Q904" s="1" t="inlineStr">
        <is>
          <t> </t>
        </is>
      </c>
      <c r="R904" s="1" t="inlineStr">
        <is>
          <t>978-5-386-13844-8</t>
        </is>
      </c>
      <c r="S904" s="1" t="inlineStr">
        <is>
          <t>9785386138448</t>
        </is>
      </c>
      <c r="T904" s="9" t="n">
        <v>10</v>
      </c>
      <c r="U904" s="1">
        <f>ROUNDUP(781.82*(1-$F$3),2)</f>
        <v/>
      </c>
      <c r="V904" s="1" t="n">
        <v>257</v>
      </c>
      <c r="Y904" s="1" t="inlineStr">
        <is>
          <t>Волшебники здоровья. Глина, шунгит, соль. Уникальное практическое руководство</t>
        </is>
      </c>
      <c r="Z904" s="1" t="inlineStr">
        <is>
          <t>12+</t>
        </is>
      </c>
      <c r="AA904" s="12" t="n">
        <v>44144</v>
      </c>
      <c r="AB904" s="1" t="inlineStr">
        <is>
          <t>Медицина</t>
        </is>
      </c>
      <c r="AC904" s="1" t="inlineStr">
        <is>
          <t>Популярная и нетрадиционная медицина</t>
        </is>
      </c>
      <c r="AD904" s="1" t="inlineStr">
        <is>
          <t>Целебные свойства продуктов. Оздоровительное питание</t>
        </is>
      </c>
      <c r="AE904" s="1" t="inlineStr">
        <is>
          <t>офсетная</t>
        </is>
      </c>
      <c r="AG904" s="1" t="n">
        <v>9560760</v>
      </c>
      <c r="AI904" s="1" t="inlineStr">
        <is>
          <t>4901990000</t>
        </is>
      </c>
    </row>
    <row r="905" customFormat="1" s="1">
      <c r="C905" s="1" t="inlineStr">
        <is>
          <t xml:space="preserve">9563580             </t>
        </is>
      </c>
      <c r="D905" s="1" t="inlineStr">
        <is>
          <t>Природный целитель</t>
        </is>
      </c>
      <c r="E905" s="1" t="inlineStr">
        <is>
          <t>Молодая кровь. Квашеная капуста, луковая шелуха, хрен. Уникальное практическое руководство. Сост. Николаева Ю.Н.</t>
        </is>
      </c>
      <c r="F905" s="13" t="inlineStr">
        <is>
          <t>См.обл.</t>
        </is>
      </c>
      <c r="G905" s="1" t="inlineStr">
        <is>
          <t>Сост. Николаева Ю.Н.</t>
        </is>
      </c>
      <c r="H905" s="1" t="inlineStr">
        <is>
          <t>84х108/32</t>
        </is>
      </c>
      <c r="I905" s="1" t="n">
        <v>192</v>
      </c>
      <c r="J905" s="1" t="inlineStr">
        <is>
          <t>РИПОЛ Классик</t>
        </is>
      </c>
      <c r="M905" s="1" t="inlineStr">
        <is>
          <t>2020</t>
        </is>
      </c>
      <c r="N905" s="1" t="inlineStr">
        <is>
          <t>П</t>
        </is>
      </c>
      <c r="O905" s="9" t="n">
        <v>14</v>
      </c>
      <c r="P905" s="1">
        <f>ROUNDUP(860*(1-$F$3),2)</f>
        <v/>
      </c>
      <c r="Q905" s="1" t="inlineStr">
        <is>
          <t> </t>
        </is>
      </c>
      <c r="R905" s="1" t="inlineStr">
        <is>
          <t>978-5-386-13845-5</t>
        </is>
      </c>
      <c r="S905" s="1" t="inlineStr">
        <is>
          <t>9785386138455</t>
        </is>
      </c>
      <c r="T905" s="9" t="n">
        <v>22</v>
      </c>
      <c r="U905" s="1">
        <f>ROUNDUP(704.92*(1-$F$3),2)</f>
        <v/>
      </c>
      <c r="V905" s="1" t="n">
        <v>258</v>
      </c>
      <c r="Y905" s="1" t="inlineStr">
        <is>
          <t>Молодая кровь. Квашеная капуста, луковая шелуха, хрен. Уникальное практическое руководство</t>
        </is>
      </c>
      <c r="Z905" s="1" t="inlineStr">
        <is>
          <t>12+</t>
        </is>
      </c>
      <c r="AA905" s="12" t="n">
        <v>44146</v>
      </c>
      <c r="AB905" s="1" t="inlineStr">
        <is>
          <t>Медицина</t>
        </is>
      </c>
      <c r="AC905" s="1" t="inlineStr">
        <is>
          <t>Популярная и нетрадиционная медицина</t>
        </is>
      </c>
      <c r="AD905" s="1" t="inlineStr">
        <is>
          <t>Народная медицина. Нетрадиционные методы лечения</t>
        </is>
      </c>
      <c r="AE905" s="1" t="inlineStr">
        <is>
          <t>офсетная</t>
        </is>
      </c>
      <c r="AG905" s="1" t="n">
        <v>9563580</v>
      </c>
      <c r="AI905" s="1" t="inlineStr">
        <is>
          <t>4901990000</t>
        </is>
      </c>
    </row>
    <row r="906" customFormat="1" s="1">
      <c r="C906" s="1" t="inlineStr">
        <is>
          <t xml:space="preserve">9556020             </t>
        </is>
      </c>
      <c r="D906" s="1" t="inlineStr">
        <is>
          <t>Природный целитель</t>
        </is>
      </c>
      <c r="E906" s="1" t="inlineStr">
        <is>
          <t>Природные чудо-целители. Календула, алоэ, бадан. Уникальное практическое руководство. Сост. Николаева Ю.Н.</t>
        </is>
      </c>
      <c r="F906" s="13" t="inlineStr">
        <is>
          <t>См.обл.</t>
        </is>
      </c>
      <c r="G906" s="1" t="inlineStr">
        <is>
          <t>Сост. Николаева Ю.Н.</t>
        </is>
      </c>
      <c r="H906" s="1" t="inlineStr">
        <is>
          <t>84х108/32</t>
        </is>
      </c>
      <c r="I906" s="1" t="n">
        <v>192</v>
      </c>
      <c r="J906" s="1" t="inlineStr">
        <is>
          <t>РИПОЛ Классик</t>
        </is>
      </c>
      <c r="M906" s="1" t="inlineStr">
        <is>
          <t>2020</t>
        </is>
      </c>
      <c r="N906" s="1" t="inlineStr">
        <is>
          <t>П</t>
        </is>
      </c>
      <c r="O906" s="9" t="n">
        <v>14</v>
      </c>
      <c r="P906" s="1">
        <f>ROUNDUP(790*(1-$F$3),2)</f>
        <v/>
      </c>
      <c r="Q906" s="1" t="inlineStr">
        <is>
          <t> </t>
        </is>
      </c>
      <c r="R906" s="1" t="inlineStr">
        <is>
          <t>978-5-386-13847-9</t>
        </is>
      </c>
      <c r="S906" s="1" t="inlineStr">
        <is>
          <t>9785386138479</t>
        </is>
      </c>
      <c r="T906" s="9" t="n">
        <v>10</v>
      </c>
      <c r="U906" s="1">
        <f>ROUNDUP(718.18*(1-$F$3),2)</f>
        <v/>
      </c>
      <c r="V906" s="1" t="n">
        <v>257</v>
      </c>
      <c r="Y906" s="1" t="inlineStr">
        <is>
          <t>Природные чудо-целители. Календула, алоэ, бадан. Уникальное практическое руководство</t>
        </is>
      </c>
      <c r="Z906" s="1" t="inlineStr">
        <is>
          <t>12+</t>
        </is>
      </c>
      <c r="AA906" s="12" t="n">
        <v>44144</v>
      </c>
      <c r="AB906" s="1" t="inlineStr">
        <is>
          <t>Медицина</t>
        </is>
      </c>
      <c r="AC906" s="1" t="inlineStr">
        <is>
          <t>Популярная и нетрадиционная медицина</t>
        </is>
      </c>
      <c r="AD906" s="1" t="inlineStr">
        <is>
          <t>Гомеопатия. Фитотерапия. Ароматерапия</t>
        </is>
      </c>
      <c r="AE906" s="1" t="inlineStr">
        <is>
          <t>офсетная</t>
        </is>
      </c>
      <c r="AG906" s="1" t="n">
        <v>9556020</v>
      </c>
      <c r="AI906" s="1" t="inlineStr">
        <is>
          <t>4901990000</t>
        </is>
      </c>
    </row>
    <row r="907" customFormat="1" s="1">
      <c r="C907" s="1" t="inlineStr">
        <is>
          <t xml:space="preserve">9868390             </t>
        </is>
      </c>
      <c r="D907" s="1" t="inlineStr">
        <is>
          <t>Притчи</t>
        </is>
      </c>
      <c r="E907" s="1" t="inlineStr">
        <is>
          <t>Мифы и притчи классической древности. От Эллады до Иудейского царства, от Индии до Тибета. Шваб Г.Б.</t>
        </is>
      </c>
      <c r="F907" s="13" t="inlineStr">
        <is>
          <t>См.обл.</t>
        </is>
      </c>
      <c r="G907" s="1" t="inlineStr">
        <is>
          <t>Шваб Г.Б.</t>
        </is>
      </c>
      <c r="H907" s="1" t="inlineStr">
        <is>
          <t>60х90/16</t>
        </is>
      </c>
      <c r="I907" s="1" t="n">
        <v>456</v>
      </c>
      <c r="J907" s="1" t="inlineStr">
        <is>
          <t>РИПОЛ Классик</t>
        </is>
      </c>
      <c r="M907" s="1" t="inlineStr">
        <is>
          <t>2022</t>
        </is>
      </c>
      <c r="N907" s="1" t="inlineStr">
        <is>
          <t>П</t>
        </is>
      </c>
      <c r="O907" s="9" t="n">
        <v>6</v>
      </c>
      <c r="P907" s="1">
        <f>ROUNDUP(1340*(1-$F$3),2)</f>
        <v/>
      </c>
      <c r="Q907" s="1" t="inlineStr">
        <is>
          <t> </t>
        </is>
      </c>
      <c r="R907" s="1" t="inlineStr">
        <is>
          <t>978-5-386-14453-1</t>
        </is>
      </c>
      <c r="S907" s="1" t="inlineStr">
        <is>
          <t>9785386144531</t>
        </is>
      </c>
      <c r="T907" s="9" t="n">
        <v>10</v>
      </c>
      <c r="U907" s="1">
        <f>ROUNDUP(1218.18*(1-$F$3),2)</f>
        <v/>
      </c>
      <c r="V907" s="1" t="n">
        <v>651</v>
      </c>
      <c r="Y907" s="1" t="inlineStr">
        <is>
          <t>Мифы и притчи классической древности. От Эллады до Иудейского царства, от Индии до Тибета</t>
        </is>
      </c>
      <c r="Z907" s="1" t="inlineStr">
        <is>
          <t>12+</t>
        </is>
      </c>
      <c r="AA907" s="12" t="n">
        <v>44536</v>
      </c>
      <c r="AB907" s="1" t="inlineStr">
        <is>
          <t>Художественная литература</t>
        </is>
      </c>
      <c r="AC907" s="1" t="inlineStr">
        <is>
          <t>Фольклор</t>
        </is>
      </c>
      <c r="AD907" s="1" t="inlineStr">
        <is>
          <t>Мифы. Легенды. Эпос</t>
        </is>
      </c>
      <c r="AE907" s="1" t="inlineStr">
        <is>
          <t>офсетная</t>
        </is>
      </c>
      <c r="AG907" s="1" t="n">
        <v>9868390</v>
      </c>
      <c r="AI907" s="1" t="inlineStr">
        <is>
          <t>4901990000</t>
        </is>
      </c>
    </row>
    <row r="908" customFormat="1" s="1">
      <c r="C908" s="1" t="inlineStr">
        <is>
          <t xml:space="preserve">11951390            </t>
        </is>
      </c>
      <c r="D908" s="1" t="inlineStr">
        <is>
          <t>Про/За</t>
        </is>
      </c>
      <c r="E908" s="1" t="inlineStr">
        <is>
          <t>Мелодия моего мятежа. Цвек Х.</t>
        </is>
      </c>
      <c r="F908" s="13" t="inlineStr">
        <is>
          <t>См.обл.</t>
        </is>
      </c>
      <c r="G908" s="1" t="inlineStr">
        <is>
          <t>Цвек Х.</t>
        </is>
      </c>
      <c r="H908" s="1" t="inlineStr">
        <is>
          <t>60х90/16</t>
        </is>
      </c>
      <c r="I908" s="1" t="n">
        <v>304</v>
      </c>
      <c r="J908" s="1" t="inlineStr">
        <is>
          <t>РИПОЛ Классик</t>
        </is>
      </c>
      <c r="M908" s="1" t="inlineStr">
        <is>
          <t>2026</t>
        </is>
      </c>
      <c r="N908" s="1" t="inlineStr">
        <is>
          <t>П</t>
        </is>
      </c>
      <c r="O908" s="9" t="n">
        <v>10</v>
      </c>
      <c r="P908" s="1">
        <f>ROUNDUP(1110*(1-$F$3),2)</f>
        <v/>
      </c>
      <c r="Q908" s="1" t="inlineStr">
        <is>
          <t> </t>
        </is>
      </c>
      <c r="R908" s="1" t="inlineStr">
        <is>
          <t>978-5-386-15538-4</t>
        </is>
      </c>
      <c r="S908" s="1" t="inlineStr">
        <is>
          <t>9785386155384</t>
        </is>
      </c>
      <c r="T908" s="9" t="n">
        <v>22</v>
      </c>
      <c r="U908" s="1">
        <f>ROUNDUP(909.84*(1-$F$3),2)</f>
        <v/>
      </c>
      <c r="V908" s="1" t="n">
        <v>467</v>
      </c>
      <c r="Y908" s="1" t="inlineStr">
        <is>
          <t>Мелодия моего мятежа</t>
        </is>
      </c>
      <c r="Z908" s="1" t="inlineStr">
        <is>
          <t>18+</t>
        </is>
      </c>
      <c r="AA908" s="12" t="n">
        <v>45987</v>
      </c>
      <c r="AB908" s="1" t="inlineStr">
        <is>
          <t>Художественная литература</t>
        </is>
      </c>
      <c r="AC908" s="1" t="inlineStr">
        <is>
          <t>Русская литература</t>
        </is>
      </c>
      <c r="AD908" s="1" t="inlineStr">
        <is>
          <t>Современная литература</t>
        </is>
      </c>
      <c r="AE908" s="1" t="inlineStr">
        <is>
          <t>офсетная</t>
        </is>
      </c>
      <c r="AG908" s="1" t="n">
        <v>11951390</v>
      </c>
      <c r="AI908" s="1" t="inlineStr">
        <is>
          <t>4901990000</t>
        </is>
      </c>
      <c r="AJ908" s="1" t="inlineStr">
        <is>
          <t>Зпв</t>
        </is>
      </c>
    </row>
    <row r="909" customFormat="1" s="1">
      <c r="C909" s="1" t="inlineStr">
        <is>
          <t xml:space="preserve">12112990            </t>
        </is>
      </c>
      <c r="D909" s="1" t="inlineStr">
        <is>
          <t>Про/За. Бунт за право быть собой</t>
        </is>
      </c>
      <c r="E909" s="1" t="inlineStr">
        <is>
          <t>30 метров в глубину. Ярцева Л</t>
        </is>
      </c>
      <c r="F909" s="13" t="inlineStr">
        <is>
          <t>См.обл.</t>
        </is>
      </c>
      <c r="G909" s="1" t="inlineStr">
        <is>
          <t>Ярцева Л</t>
        </is>
      </c>
      <c r="H909" s="1" t="inlineStr">
        <is>
          <t>60х90/16</t>
        </is>
      </c>
      <c r="I909" s="1" t="n">
        <v>320</v>
      </c>
      <c r="J909" s="1" t="inlineStr">
        <is>
          <t>РИПОЛ Классик</t>
        </is>
      </c>
      <c r="M909" s="1" t="inlineStr">
        <is>
          <t>2026</t>
        </is>
      </c>
      <c r="N909" s="1" t="inlineStr">
        <is>
          <t>П</t>
        </is>
      </c>
      <c r="O909" s="9" t="n">
        <v>12</v>
      </c>
      <c r="P909" s="1">
        <f>ROUNDUP(990*(1-$F$3),2)</f>
        <v/>
      </c>
      <c r="Q909" s="1" t="inlineStr">
        <is>
          <t> </t>
        </is>
      </c>
      <c r="R909" s="1" t="inlineStr">
        <is>
          <t>978-5-386-15593-3</t>
        </is>
      </c>
      <c r="S909" s="1" t="inlineStr">
        <is>
          <t>9785386155933</t>
        </is>
      </c>
      <c r="T909" s="9" t="n">
        <v>10</v>
      </c>
      <c r="U909" s="1">
        <f>ROUNDUP(900*(1-$F$3),2)</f>
        <v/>
      </c>
      <c r="V909" s="1" t="n">
        <v>416</v>
      </c>
      <c r="Y909" s="1" t="inlineStr">
        <is>
          <t>30 метров в глубину</t>
        </is>
      </c>
      <c r="Z909" s="1" t="inlineStr">
        <is>
          <t>16+</t>
        </is>
      </c>
      <c r="AA909" s="12" t="n">
        <v>46147</v>
      </c>
      <c r="AB909" s="1" t="inlineStr">
        <is>
          <t>Художественная литература</t>
        </is>
      </c>
      <c r="AC909" s="1" t="inlineStr">
        <is>
          <t>Русская литература</t>
        </is>
      </c>
      <c r="AD909" s="1" t="inlineStr">
        <is>
          <t>Современная литература</t>
        </is>
      </c>
      <c r="AE909" s="1" t="inlineStr">
        <is>
          <t>офсетная</t>
        </is>
      </c>
      <c r="AG909" s="1" t="n">
        <v>12112990</v>
      </c>
      <c r="AI909" s="1" t="inlineStr">
        <is>
          <t>4901990000</t>
        </is>
      </c>
    </row>
    <row r="910" customFormat="1" s="1">
      <c r="C910" s="1" t="inlineStr">
        <is>
          <t xml:space="preserve">12112970            </t>
        </is>
      </c>
      <c r="D910" s="1" t="inlineStr">
        <is>
          <t>Про/За. Бунт за право быть собой</t>
        </is>
      </c>
      <c r="E910" s="1" t="inlineStr">
        <is>
          <t>Отложенное взросление. Яжмина Я.</t>
        </is>
      </c>
      <c r="F910" s="13" t="inlineStr">
        <is>
          <t>См.обл.</t>
        </is>
      </c>
      <c r="G910" s="1" t="inlineStr">
        <is>
          <t>Яжмина Я.</t>
        </is>
      </c>
      <c r="H910" s="1" t="inlineStr">
        <is>
          <t>60х90/16</t>
        </is>
      </c>
      <c r="I910" s="1" t="n">
        <v>272</v>
      </c>
      <c r="J910" s="1" t="inlineStr">
        <is>
          <t>РИПОЛ Классик</t>
        </is>
      </c>
      <c r="M910" s="1" t="inlineStr">
        <is>
          <t>2026</t>
        </is>
      </c>
      <c r="N910" s="1" t="inlineStr">
        <is>
          <t>П</t>
        </is>
      </c>
      <c r="O910" s="9" t="n">
        <v>14</v>
      </c>
      <c r="P910" s="1">
        <f>ROUNDUP(950*(1-$F$3),2)</f>
        <v/>
      </c>
      <c r="Q910" s="1" t="inlineStr">
        <is>
          <t> </t>
        </is>
      </c>
      <c r="R910" s="1" t="inlineStr">
        <is>
          <t>978-5-386-15591-9</t>
        </is>
      </c>
      <c r="S910" s="1" t="inlineStr">
        <is>
          <t>9785386155919</t>
        </is>
      </c>
      <c r="T910" s="9" t="n">
        <v>10</v>
      </c>
      <c r="U910" s="1">
        <f>ROUNDUP(863.64*(1-$F$3),2)</f>
        <v/>
      </c>
      <c r="V910" s="1" t="n">
        <v>371</v>
      </c>
      <c r="Y910" s="1" t="inlineStr">
        <is>
          <t>Отложенное взросление</t>
        </is>
      </c>
      <c r="Z910" s="1" t="inlineStr">
        <is>
          <t>16+</t>
        </is>
      </c>
      <c r="AA910" s="12" t="n">
        <v>46147</v>
      </c>
      <c r="AB910" s="1" t="inlineStr">
        <is>
          <t>Художественная литература</t>
        </is>
      </c>
      <c r="AC910" s="1" t="inlineStr">
        <is>
          <t>Русская литература</t>
        </is>
      </c>
      <c r="AD910" s="1" t="inlineStr">
        <is>
          <t>Современная литература</t>
        </is>
      </c>
      <c r="AE910" s="1" t="inlineStr">
        <is>
          <t>офсетная</t>
        </is>
      </c>
      <c r="AG910" s="1" t="n">
        <v>12112970</v>
      </c>
      <c r="AI910" s="1" t="inlineStr">
        <is>
          <t>4901990000</t>
        </is>
      </c>
    </row>
    <row r="911" customFormat="1" s="1">
      <c r="C911" s="1" t="inlineStr">
        <is>
          <t xml:space="preserve">12062920            </t>
        </is>
      </c>
      <c r="D911" s="1" t="inlineStr">
        <is>
          <t>Про/За. Бунт за право быть собой</t>
        </is>
      </c>
      <c r="E911" s="1" t="inlineStr">
        <is>
          <t>Южный ветер дует на север. Монастырская Ю.</t>
        </is>
      </c>
      <c r="F911" s="13" t="inlineStr">
        <is>
          <t>См.обл.</t>
        </is>
      </c>
      <c r="G911" s="1" t="inlineStr">
        <is>
          <t>Монастырская Ю.</t>
        </is>
      </c>
      <c r="H911" s="1" t="inlineStr">
        <is>
          <t>60х90/16</t>
        </is>
      </c>
      <c r="I911" s="1" t="n">
        <v>256</v>
      </c>
      <c r="J911" s="1" t="inlineStr">
        <is>
          <t>РИПОЛ Классик</t>
        </is>
      </c>
      <c r="M911" s="1" t="inlineStr">
        <is>
          <t>2026</t>
        </is>
      </c>
      <c r="N911" s="1" t="inlineStr">
        <is>
          <t>П</t>
        </is>
      </c>
      <c r="O911" s="9" t="n">
        <v>10</v>
      </c>
      <c r="P911" s="1">
        <f>ROUNDUP(790*(1-$F$3),2)</f>
        <v/>
      </c>
      <c r="Q911" s="1" t="inlineStr">
        <is>
          <t> </t>
        </is>
      </c>
      <c r="R911" s="1" t="inlineStr">
        <is>
          <t>978-5-386-15574-2</t>
        </is>
      </c>
      <c r="S911" s="1" t="inlineStr">
        <is>
          <t>9785386155742</t>
        </is>
      </c>
      <c r="T911" s="9" t="n">
        <v>10</v>
      </c>
      <c r="U911" s="1">
        <f>ROUNDUP(718.18*(1-$F$3),2)</f>
        <v/>
      </c>
      <c r="V911" s="1" t="n">
        <v>307</v>
      </c>
      <c r="Y911" s="1" t="inlineStr">
        <is>
          <t>Южный ветер дует на север</t>
        </is>
      </c>
      <c r="Z911" s="1" t="inlineStr">
        <is>
          <t>16+</t>
        </is>
      </c>
      <c r="AA911" s="12" t="n">
        <v>46113</v>
      </c>
      <c r="AB911" s="1" t="inlineStr">
        <is>
          <t>Художественная литература</t>
        </is>
      </c>
      <c r="AC911" s="1" t="inlineStr">
        <is>
          <t>Русская литература</t>
        </is>
      </c>
      <c r="AD911" s="1" t="inlineStr">
        <is>
          <t>Современная литература</t>
        </is>
      </c>
      <c r="AE911" s="1" t="inlineStr">
        <is>
          <t>офсетная</t>
        </is>
      </c>
      <c r="AG911" s="1" t="n">
        <v>12062920</v>
      </c>
      <c r="AI911" s="1" t="inlineStr">
        <is>
          <t>4901990000</t>
        </is>
      </c>
    </row>
    <row r="912" customFormat="1" s="1">
      <c r="C912" s="1" t="inlineStr">
        <is>
          <t xml:space="preserve">11149030            </t>
        </is>
      </c>
      <c r="D912" s="1" t="inlineStr">
        <is>
          <t>Прогноз на каждый день</t>
        </is>
      </c>
      <c r="E912" s="1" t="inlineStr">
        <is>
          <t>Цифровой прогноз по системе Александрова. 2024 год. Каждый день уникален. Александрова А</t>
        </is>
      </c>
      <c r="F912" s="13" t="inlineStr">
        <is>
          <t>См.обл.</t>
        </is>
      </c>
      <c r="G912" s="1" t="inlineStr">
        <is>
          <t>Александрова А</t>
        </is>
      </c>
      <c r="H912" s="1" t="inlineStr">
        <is>
          <t>84х108/32</t>
        </is>
      </c>
      <c r="I912" s="1" t="n">
        <v>240</v>
      </c>
      <c r="J912" s="1" t="inlineStr">
        <is>
          <t>РИПОЛ Классик</t>
        </is>
      </c>
      <c r="M912" s="1" t="inlineStr">
        <is>
          <t>2024</t>
        </is>
      </c>
      <c r="N912" s="1" t="inlineStr">
        <is>
          <t>О</t>
        </is>
      </c>
      <c r="O912" s="9" t="n">
        <v>22</v>
      </c>
      <c r="P912" s="1">
        <f>ROUNDUP(869*(1-$F$3),2)</f>
        <v/>
      </c>
      <c r="Q912" s="1" t="inlineStr">
        <is>
          <t> </t>
        </is>
      </c>
      <c r="R912" s="1" t="inlineStr">
        <is>
          <t>978-5-386-15109-6</t>
        </is>
      </c>
      <c r="S912" s="1" t="inlineStr">
        <is>
          <t>9785386151096</t>
        </is>
      </c>
      <c r="T912" s="9" t="n">
        <v>22</v>
      </c>
      <c r="U912" s="1">
        <f>ROUNDUP(712.3*(1-$F$3),2)</f>
        <v/>
      </c>
      <c r="V912" s="1" t="n">
        <v>161</v>
      </c>
      <c r="Y912" s="1" t="inlineStr">
        <is>
          <t>Цифровой прогноз по системе Александрова. 2024 год. Каждый день уникален</t>
        </is>
      </c>
      <c r="Z912" s="1" t="inlineStr">
        <is>
          <t>16+</t>
        </is>
      </c>
      <c r="AA912" s="12" t="n">
        <v>45251</v>
      </c>
      <c r="AB912" s="1" t="inlineStr">
        <is>
          <t>Религии. Эзотерика. Оккультизм</t>
        </is>
      </c>
      <c r="AC912" s="1" t="inlineStr">
        <is>
          <t>Эзотерика. Парапсихология. Тайны</t>
        </is>
      </c>
      <c r="AD912" s="1" t="inlineStr">
        <is>
          <t>Астрология. Нумерология</t>
        </is>
      </c>
      <c r="AE912" s="1" t="inlineStr">
        <is>
          <t>офсетная</t>
        </is>
      </c>
      <c r="AG912" s="1" t="n">
        <v>11149030</v>
      </c>
      <c r="AI912" s="1" t="inlineStr">
        <is>
          <t>4901990000</t>
        </is>
      </c>
    </row>
    <row r="913" customFormat="1" s="1">
      <c r="C913" s="1" t="inlineStr">
        <is>
          <t>11212630</t>
        </is>
      </c>
      <c r="D913" s="1" t="inlineStr">
        <is>
          <t>Проект Алексея Ситникова</t>
        </is>
      </c>
      <c r="E913" s="1" t="inlineStr">
        <is>
          <t>KARMACOACH + KARMALOGIC. Краткая версия (комплект из 2-х книг). Ситников А.П.</t>
        </is>
      </c>
      <c r="F913" s="13" t="inlineStr">
        <is>
          <t>См.обл.</t>
        </is>
      </c>
      <c r="G913" s="1" t="inlineStr">
        <is>
          <t>Ситников А.П.</t>
        </is>
      </c>
      <c r="H913" s="1" t="inlineStr">
        <is>
          <t>76х100/32</t>
        </is>
      </c>
      <c r="I913" s="1" t="n">
        <v>1264</v>
      </c>
      <c r="J913" s="1" t="inlineStr">
        <is>
          <t>РИПОЛ Классик</t>
        </is>
      </c>
      <c r="M913" s="1" t="inlineStr">
        <is>
          <t>2025</t>
        </is>
      </c>
      <c r="N913" s="1" t="inlineStr">
        <is>
          <t>О</t>
        </is>
      </c>
      <c r="O913" s="9" t="n"/>
      <c r="P913" s="1">
        <f>ROUNDUP(2250*(1-$F$3),2)</f>
        <v/>
      </c>
      <c r="Q913" s="1" t="inlineStr">
        <is>
          <t> </t>
        </is>
      </c>
      <c r="R913" s="1" t="inlineStr">
        <is>
          <t>978-5-521-82134-1</t>
        </is>
      </c>
      <c r="S913" s="1" t="inlineStr">
        <is>
          <t>9785521821341</t>
        </is>
      </c>
      <c r="T913" s="9" t="n">
        <v>10</v>
      </c>
      <c r="U913" s="1">
        <f>ROUNDUP(2045.45*(1-$F$3),2)</f>
        <v/>
      </c>
      <c r="V913" s="1" t="n">
        <v>876</v>
      </c>
      <c r="Y913" s="1" t="inlineStr">
        <is>
          <t>KARMACOACH + KARMALOGIC. Краткая версия (комплект из 2-х книг)</t>
        </is>
      </c>
      <c r="Z913" s="1" t="inlineStr">
        <is>
          <t>16+</t>
        </is>
      </c>
      <c r="AA913" s="12" t="n">
        <v>45313</v>
      </c>
      <c r="AB913" s="1" t="inlineStr">
        <is>
          <t>Гуманитарные науки</t>
        </is>
      </c>
      <c r="AC913" s="1" t="inlineStr">
        <is>
          <t>Психология</t>
        </is>
      </c>
      <c r="AD913" s="1" t="inlineStr">
        <is>
          <t>Психология личности. Характер. Личностный рост</t>
        </is>
      </c>
      <c r="AE913" s="1" t="inlineStr">
        <is>
          <t>офсетная</t>
        </is>
      </c>
      <c r="AG913" s="1" t="n">
        <v>11212630</v>
      </c>
      <c r="AI913" s="1" t="inlineStr">
        <is>
          <t>4901990000</t>
        </is>
      </c>
    </row>
    <row r="914" customFormat="1" s="1">
      <c r="C914" s="1" t="inlineStr">
        <is>
          <t xml:space="preserve">11157970            </t>
        </is>
      </c>
      <c r="D914" s="1" t="inlineStr">
        <is>
          <t>Проект Алексея Ситникова</t>
        </is>
      </c>
      <c r="E914" s="1" t="inlineStr">
        <is>
          <t>KARMACOACH. Краткая версия. Ситников А.П.</t>
        </is>
      </c>
      <c r="F914" s="13" t="inlineStr">
        <is>
          <t>См.обл.</t>
        </is>
      </c>
      <c r="G914" s="1" t="inlineStr">
        <is>
          <t>Ситников А.П.</t>
        </is>
      </c>
      <c r="H914" s="1" t="inlineStr">
        <is>
          <t>76х100/32</t>
        </is>
      </c>
      <c r="I914" s="1" t="n">
        <v>832</v>
      </c>
      <c r="J914" s="1" t="inlineStr">
        <is>
          <t>РИПОЛ Классик</t>
        </is>
      </c>
      <c r="M914" s="1" t="inlineStr">
        <is>
          <t>2025</t>
        </is>
      </c>
      <c r="N914" s="1" t="inlineStr">
        <is>
          <t>О</t>
        </is>
      </c>
      <c r="O914" s="9" t="n">
        <v>4</v>
      </c>
      <c r="P914" s="1">
        <f>ROUNDUP(1190*(1-$F$3),2)</f>
        <v/>
      </c>
      <c r="Q914" s="1" t="inlineStr">
        <is>
          <t> </t>
        </is>
      </c>
      <c r="R914" s="1" t="inlineStr">
        <is>
          <t>978-5-386-15142-3</t>
        </is>
      </c>
      <c r="S914" s="1" t="inlineStr">
        <is>
          <t>9785386151423</t>
        </is>
      </c>
      <c r="T914" s="9" t="n">
        <v>10</v>
      </c>
      <c r="U914" s="1">
        <f>ROUNDUP(1081.82*(1-$F$3),2)</f>
        <v/>
      </c>
      <c r="V914" s="1" t="n">
        <v>575</v>
      </c>
      <c r="Y914" s="1" t="inlineStr">
        <is>
          <t>KARMACOACH. Краткая версия</t>
        </is>
      </c>
      <c r="Z914" s="1" t="inlineStr">
        <is>
          <t>16+</t>
        </is>
      </c>
      <c r="AA914" s="12" t="n">
        <v>45283</v>
      </c>
      <c r="AB914" s="1" t="inlineStr">
        <is>
          <t>Гуманитарные науки</t>
        </is>
      </c>
      <c r="AC914" s="1" t="inlineStr">
        <is>
          <t>Психология</t>
        </is>
      </c>
      <c r="AD914" s="1" t="inlineStr">
        <is>
          <t>Психология личности. Характер. Личностный рост</t>
        </is>
      </c>
      <c r="AE914" s="1" t="inlineStr">
        <is>
          <t>офсетная</t>
        </is>
      </c>
      <c r="AG914" s="1" t="n">
        <v>11157970</v>
      </c>
      <c r="AI914" s="1" t="inlineStr">
        <is>
          <t>4901990000</t>
        </is>
      </c>
    </row>
    <row r="915" customFormat="1" s="1">
      <c r="C915" s="1" t="inlineStr">
        <is>
          <t xml:space="preserve">11069060            </t>
        </is>
      </c>
      <c r="D915" s="1" t="inlineStr">
        <is>
          <t>Проект Алексея Ситникова</t>
        </is>
      </c>
      <c r="E915" s="1" t="inlineStr">
        <is>
          <t>KARMACOACH. Ситников А.П.</t>
        </is>
      </c>
      <c r="F915" s="13" t="inlineStr">
        <is>
          <t>См.обл.</t>
        </is>
      </c>
      <c r="G915" s="1" t="inlineStr">
        <is>
          <t>Ситников А.П.</t>
        </is>
      </c>
      <c r="H915" s="1" t="inlineStr">
        <is>
          <t>70х100/16</t>
        </is>
      </c>
      <c r="I915" s="1" t="n">
        <v>944</v>
      </c>
      <c r="J915" s="1" t="inlineStr">
        <is>
          <t>РИПОЛ Классик</t>
        </is>
      </c>
      <c r="M915" s="1" t="inlineStr">
        <is>
          <t>2024</t>
        </is>
      </c>
      <c r="N915" s="1" t="inlineStr">
        <is>
          <t>П</t>
        </is>
      </c>
      <c r="O915" s="9" t="n">
        <v>4</v>
      </c>
      <c r="P915" s="1">
        <f>ROUNDUP(2490*(1-$F$3),2)</f>
        <v/>
      </c>
      <c r="Q915" s="1" t="inlineStr">
        <is>
          <t> </t>
        </is>
      </c>
      <c r="R915" s="1" t="inlineStr">
        <is>
          <t>978-5-386-15107-2</t>
        </is>
      </c>
      <c r="S915" s="1" t="inlineStr">
        <is>
          <t>9785386151072</t>
        </is>
      </c>
      <c r="T915" s="9" t="n">
        <v>10</v>
      </c>
      <c r="U915" s="1">
        <f>ROUNDUP(2263.64*(1-$F$3),2)</f>
        <v/>
      </c>
      <c r="V915" s="1" t="n">
        <v>1368</v>
      </c>
      <c r="Y915" s="1" t="inlineStr">
        <is>
          <t>KARMACOACH</t>
        </is>
      </c>
      <c r="Z915" s="1" t="inlineStr">
        <is>
          <t>16+</t>
        </is>
      </c>
      <c r="AA915" s="12" t="n">
        <v>45183</v>
      </c>
      <c r="AB915" s="1" t="inlineStr">
        <is>
          <t>Гуманитарные науки</t>
        </is>
      </c>
      <c r="AC915" s="1" t="inlineStr">
        <is>
          <t>Психология</t>
        </is>
      </c>
      <c r="AD915" s="1" t="inlineStr">
        <is>
          <t>Психология личности. Характер. Личностный рост</t>
        </is>
      </c>
      <c r="AE915" s="1" t="inlineStr">
        <is>
          <t>офсетная</t>
        </is>
      </c>
      <c r="AG915" s="1" t="n">
        <v>11069060</v>
      </c>
      <c r="AI915" s="1" t="inlineStr">
        <is>
          <t>4901990000</t>
        </is>
      </c>
    </row>
    <row r="916" customFormat="1" s="1">
      <c r="C916" s="1" t="inlineStr">
        <is>
          <t>11372580</t>
        </is>
      </c>
      <c r="D916" s="1" t="inlineStr">
        <is>
          <t>Проект Алексея Ситникова</t>
        </is>
      </c>
      <c r="E916" s="1" t="inlineStr">
        <is>
          <t>Karmalogic + Karmacoach + Karmamagic (комплект из 3-х книг). Ситников А.П.</t>
        </is>
      </c>
      <c r="F916" s="13" t="inlineStr">
        <is>
          <t>См.обл.</t>
        </is>
      </c>
      <c r="G916" s="1" t="inlineStr">
        <is>
          <t>Ситников А.П.</t>
        </is>
      </c>
      <c r="H916" s="1" t="inlineStr">
        <is>
          <t>70х100/16</t>
        </is>
      </c>
      <c r="I916" s="1" t="n">
        <v>2616</v>
      </c>
      <c r="J916" s="1" t="inlineStr">
        <is>
          <t>РИПОЛ Классик</t>
        </is>
      </c>
      <c r="M916" s="1" t="inlineStr">
        <is>
          <t>2024</t>
        </is>
      </c>
      <c r="N916" s="1" t="inlineStr">
        <is>
          <t>П</t>
        </is>
      </c>
      <c r="O916" s="9" t="n"/>
      <c r="P916" s="1">
        <f>ROUNDUP(6850*(1-$F$3),2)</f>
        <v/>
      </c>
      <c r="Q916" s="1" t="inlineStr">
        <is>
          <t> </t>
        </is>
      </c>
      <c r="R916" s="1" t="inlineStr">
        <is>
          <t>978-5-521-82854-8</t>
        </is>
      </c>
      <c r="S916" s="1" t="inlineStr">
        <is>
          <t>9785521828548</t>
        </is>
      </c>
      <c r="T916" s="9" t="n">
        <v>10</v>
      </c>
      <c r="U916" s="1">
        <f>ROUNDUP(6227.27*(1-$F$3),2)</f>
        <v/>
      </c>
      <c r="V916" s="1" t="n">
        <v>3832</v>
      </c>
      <c r="Y916" s="1" t="inlineStr">
        <is>
          <t>Karmalogic + Karmacoach + Karmamagic (комплект из 3-х книг)</t>
        </is>
      </c>
      <c r="Z916" s="1" t="inlineStr">
        <is>
          <t>16+</t>
        </is>
      </c>
      <c r="AA916" s="12" t="n">
        <v>45441</v>
      </c>
      <c r="AB916" s="1" t="inlineStr">
        <is>
          <t>Религии. Эзотерика. Оккультизм</t>
        </is>
      </c>
      <c r="AC916" s="1" t="inlineStr">
        <is>
          <t>Эзотерика. Парапсихология. Тайны</t>
        </is>
      </c>
      <c r="AD916" s="1" t="inlineStr">
        <is>
          <t>Духовные практики</t>
        </is>
      </c>
      <c r="AE916" s="1" t="inlineStr">
        <is>
          <t>офсетная</t>
        </is>
      </c>
      <c r="AG916" s="1" t="n">
        <v>11372580</v>
      </c>
      <c r="AI916" s="1" t="inlineStr">
        <is>
          <t>4901990000</t>
        </is>
      </c>
    </row>
    <row r="917" customFormat="1" s="1">
      <c r="C917" s="1" t="inlineStr">
        <is>
          <t xml:space="preserve">8435090             </t>
        </is>
      </c>
      <c r="D917" s="1" t="inlineStr">
        <is>
          <t>Проект Алексея Ситникова</t>
        </is>
      </c>
      <c r="E917" s="1" t="inlineStr">
        <is>
          <t>KARMALOGIC + вкладыш. Ситников А.П.</t>
        </is>
      </c>
      <c r="F917" s="13" t="inlineStr">
        <is>
          <t>См.обл.</t>
        </is>
      </c>
      <c r="G917" s="1" t="inlineStr">
        <is>
          <t>Ситников А.П.</t>
        </is>
      </c>
      <c r="H917" s="1" t="inlineStr">
        <is>
          <t>70х100/16</t>
        </is>
      </c>
      <c r="I917" s="1" t="n">
        <v>840</v>
      </c>
      <c r="J917" s="1" t="inlineStr">
        <is>
          <t>РИПОЛ Классик</t>
        </is>
      </c>
      <c r="M917" s="1" t="inlineStr">
        <is>
          <t>2024</t>
        </is>
      </c>
      <c r="N917" s="1" t="inlineStr">
        <is>
          <t>П</t>
        </is>
      </c>
      <c r="O917" s="9" t="n">
        <v>4</v>
      </c>
      <c r="P917" s="1">
        <f>ROUNDUP(2490*(1-$F$3),2)</f>
        <v/>
      </c>
      <c r="Q917" s="1" t="inlineStr">
        <is>
          <t> </t>
        </is>
      </c>
      <c r="R917" s="1" t="inlineStr">
        <is>
          <t>978-5-386-10461-0</t>
        </is>
      </c>
      <c r="S917" s="1" t="inlineStr">
        <is>
          <t>9785386104610</t>
        </is>
      </c>
      <c r="T917" s="9" t="n">
        <v>10</v>
      </c>
      <c r="U917" s="1">
        <f>ROUNDUP(2263.64*(1-$F$3),2)</f>
        <v/>
      </c>
      <c r="V917" s="1" t="n">
        <v>1319</v>
      </c>
      <c r="Y917" s="1" t="inlineStr">
        <is>
          <t>KARMALOGIC + вкладыш</t>
        </is>
      </c>
      <c r="Z917" s="1" t="inlineStr">
        <is>
          <t>16+</t>
        </is>
      </c>
      <c r="AA917" s="12" t="n">
        <v>43094</v>
      </c>
      <c r="AB917" s="1" t="inlineStr">
        <is>
          <t>Гуманитарные науки</t>
        </is>
      </c>
      <c r="AC917" s="1" t="inlineStr">
        <is>
          <t>Психология</t>
        </is>
      </c>
      <c r="AD917" s="1" t="inlineStr">
        <is>
          <t>Психологические школы и направления</t>
        </is>
      </c>
      <c r="AE917" s="1" t="inlineStr">
        <is>
          <t>офсетная</t>
        </is>
      </c>
      <c r="AG917" s="1" t="n">
        <v>8435090</v>
      </c>
      <c r="AI917" s="1" t="inlineStr">
        <is>
          <t>4901990000</t>
        </is>
      </c>
    </row>
    <row r="918" customFormat="1" s="1">
      <c r="C918" s="1" t="inlineStr">
        <is>
          <t xml:space="preserve">11421040            </t>
        </is>
      </c>
      <c r="D918" s="1" t="inlineStr">
        <is>
          <t>Проект Алексея Ситникова</t>
        </is>
      </c>
      <c r="E918" s="1" t="inlineStr">
        <is>
          <t>Karmalogic для детей. Приключения в Кармашкино. Ситников А.П.</t>
        </is>
      </c>
      <c r="F918" s="13" t="inlineStr">
        <is>
          <t>См.обл.</t>
        </is>
      </c>
      <c r="G918" s="1" t="inlineStr">
        <is>
          <t>Ситников А.П.</t>
        </is>
      </c>
      <c r="H918" s="1" t="inlineStr">
        <is>
          <t>84х108/16</t>
        </is>
      </c>
      <c r="I918" s="1" t="n">
        <v>312</v>
      </c>
      <c r="J918" s="1" t="inlineStr">
        <is>
          <t>РИПОЛ Классик</t>
        </is>
      </c>
      <c r="M918" s="1" t="inlineStr">
        <is>
          <t>2026</t>
        </is>
      </c>
      <c r="N918" s="1" t="inlineStr">
        <is>
          <t>П</t>
        </is>
      </c>
      <c r="O918" s="9" t="n">
        <v>5</v>
      </c>
      <c r="P918" s="1">
        <f>ROUNDUP(1890*(1-$F$3),2)</f>
        <v/>
      </c>
      <c r="Q918" s="1" t="inlineStr">
        <is>
          <t> </t>
        </is>
      </c>
      <c r="R918" s="1" t="inlineStr">
        <is>
          <t>978-5-386-15231-4</t>
        </is>
      </c>
      <c r="S918" s="1" t="inlineStr">
        <is>
          <t>9785386152314</t>
        </is>
      </c>
      <c r="T918" s="9" t="n">
        <v>10</v>
      </c>
      <c r="U918" s="1">
        <f>ROUNDUP(1718.18*(1-$F$3),2)</f>
        <v/>
      </c>
      <c r="V918" s="1" t="n">
        <v>992</v>
      </c>
      <c r="Y918" s="1" t="inlineStr">
        <is>
          <t>Karmalogic для детей. Приключения в Кармашкино</t>
        </is>
      </c>
      <c r="Z918" s="1" t="inlineStr">
        <is>
          <t>6 +</t>
        </is>
      </c>
      <c r="AA918" s="12" t="n">
        <v>45538</v>
      </c>
      <c r="AB918" s="1" t="inlineStr">
        <is>
          <t>Детская литература</t>
        </is>
      </c>
      <c r="AC918" s="1" t="inlineStr">
        <is>
          <t>Художественная литература</t>
        </is>
      </c>
      <c r="AD918" s="1" t="inlineStr">
        <is>
          <t>Литературная сказка</t>
        </is>
      </c>
      <c r="AE918" s="1" t="inlineStr">
        <is>
          <t>офсетная</t>
        </is>
      </c>
      <c r="AG918" s="1" t="n">
        <v>11421040</v>
      </c>
      <c r="AI918" s="1" t="inlineStr">
        <is>
          <t>4901990000</t>
        </is>
      </c>
    </row>
    <row r="919" customFormat="1" s="1">
      <c r="C919" s="1" t="inlineStr">
        <is>
          <t xml:space="preserve">8723820             </t>
        </is>
      </c>
      <c r="D919" s="1" t="inlineStr">
        <is>
          <t>Проект Алексея Ситникова</t>
        </is>
      </c>
      <c r="E919" s="1" t="inlineStr">
        <is>
          <t>KARMALOGIC. Краткая версия (пер.). Ситников А.П.</t>
        </is>
      </c>
      <c r="F919" s="13" t="inlineStr">
        <is>
          <t>См.обл.</t>
        </is>
      </c>
      <c r="G919" s="1" t="inlineStr">
        <is>
          <t>Ситников А.П.</t>
        </is>
      </c>
      <c r="H919" s="1" t="inlineStr">
        <is>
          <t>80х100/32</t>
        </is>
      </c>
      <c r="I919" s="1" t="n">
        <v>512</v>
      </c>
      <c r="J919" s="1" t="inlineStr">
        <is>
          <t>РИПОЛ Классик</t>
        </is>
      </c>
      <c r="M919" s="1" t="inlineStr">
        <is>
          <t>2023</t>
        </is>
      </c>
      <c r="N919" s="1" t="inlineStr">
        <is>
          <t>П</t>
        </is>
      </c>
      <c r="O919" s="9" t="n">
        <v>10</v>
      </c>
      <c r="P919" s="1">
        <f>ROUNDUP(1190*(1-$F$3),2)</f>
        <v/>
      </c>
      <c r="Q919" s="1" t="inlineStr">
        <is>
          <t> </t>
        </is>
      </c>
      <c r="R919" s="1" t="inlineStr">
        <is>
          <t>978-5-386-12057-3</t>
        </is>
      </c>
      <c r="S919" s="1" t="inlineStr">
        <is>
          <t>9785386120573</t>
        </is>
      </c>
      <c r="T919" s="9" t="n">
        <v>10</v>
      </c>
      <c r="U919" s="1">
        <f>ROUNDUP(1081.82*(1-$F$3),2)</f>
        <v/>
      </c>
      <c r="V919" s="1" t="n">
        <v>445</v>
      </c>
      <c r="Y919" s="1" t="inlineStr">
        <is>
          <t>KARMALOGIC. Краткая версия (пер.)</t>
        </is>
      </c>
      <c r="Z919" s="1" t="inlineStr">
        <is>
          <t>12+</t>
        </is>
      </c>
      <c r="AA919" s="12" t="n">
        <v>43369</v>
      </c>
      <c r="AB919" s="1" t="inlineStr">
        <is>
          <t>Гуманитарные науки</t>
        </is>
      </c>
      <c r="AC919" s="1" t="inlineStr">
        <is>
          <t>Психология</t>
        </is>
      </c>
      <c r="AD919" s="1" t="inlineStr">
        <is>
          <t>Психологические школы и направления</t>
        </is>
      </c>
      <c r="AE919" s="1" t="inlineStr">
        <is>
          <t>офсетная</t>
        </is>
      </c>
      <c r="AG919" s="1" t="n">
        <v>8723820</v>
      </c>
      <c r="AI919" s="1" t="inlineStr">
        <is>
          <t>4901990000</t>
        </is>
      </c>
    </row>
    <row r="920" customFormat="1" s="1">
      <c r="C920" s="1" t="inlineStr">
        <is>
          <t xml:space="preserve">11775340            </t>
        </is>
      </c>
      <c r="D920" s="1" t="inlineStr">
        <is>
          <t>Проект Алексея Ситникова</t>
        </is>
      </c>
      <c r="E920" s="1" t="inlineStr">
        <is>
          <t>KARMALOGIC. Краткая версия. Ситников А.П.</t>
        </is>
      </c>
      <c r="F920" s="13" t="inlineStr">
        <is>
          <t>См.обл.</t>
        </is>
      </c>
      <c r="G920" s="1" t="inlineStr">
        <is>
          <t>Ситников А.П.</t>
        </is>
      </c>
      <c r="H920" s="1" t="inlineStr">
        <is>
          <t>76х100/32</t>
        </is>
      </c>
      <c r="I920" s="1" t="n">
        <v>784</v>
      </c>
      <c r="J920" s="1" t="inlineStr">
        <is>
          <t>РИПОЛ Классик</t>
        </is>
      </c>
      <c r="M920" s="1" t="inlineStr">
        <is>
          <t>2025</t>
        </is>
      </c>
      <c r="N920" s="1" t="inlineStr">
        <is>
          <t>О</t>
        </is>
      </c>
      <c r="O920" s="9" t="n">
        <v>4</v>
      </c>
      <c r="P920" s="1">
        <f>ROUNDUP(1190*(1-$F$3),2)</f>
        <v/>
      </c>
      <c r="Q920" s="1" t="inlineStr">
        <is>
          <t> </t>
        </is>
      </c>
      <c r="R920" s="1" t="inlineStr">
        <is>
          <t>978-5-386-15419-6</t>
        </is>
      </c>
      <c r="S920" s="1" t="inlineStr">
        <is>
          <t>9785386154196</t>
        </is>
      </c>
      <c r="T920" s="9" t="n">
        <v>10</v>
      </c>
      <c r="U920" s="1">
        <f>ROUNDUP(1081.82*(1-$F$3),2)</f>
        <v/>
      </c>
      <c r="V920" s="1" t="n">
        <v>541</v>
      </c>
      <c r="Y920" s="1" t="inlineStr">
        <is>
          <t>KARMALOGIC. Краткая версия</t>
        </is>
      </c>
      <c r="Z920" s="1" t="inlineStr">
        <is>
          <t>16+</t>
        </is>
      </c>
      <c r="AA920" s="12" t="n">
        <v>45868</v>
      </c>
      <c r="AB920" s="1" t="inlineStr">
        <is>
          <t>Гуманитарные науки</t>
        </is>
      </c>
      <c r="AC920" s="1" t="inlineStr">
        <is>
          <t>Психология</t>
        </is>
      </c>
      <c r="AD920" s="1" t="inlineStr">
        <is>
          <t>Психология личности. Характер. Личностный рост</t>
        </is>
      </c>
      <c r="AE920" s="1" t="inlineStr">
        <is>
          <t>офсетная</t>
        </is>
      </c>
      <c r="AG920" s="1" t="n">
        <v>11775340</v>
      </c>
      <c r="AI920" s="1" t="inlineStr">
        <is>
          <t>4901990000</t>
        </is>
      </c>
    </row>
    <row r="921" customFormat="1" s="1">
      <c r="C921" s="1" t="inlineStr">
        <is>
          <t>11144140</t>
        </is>
      </c>
      <c r="D921" s="1" t="inlineStr">
        <is>
          <t>Проект Алексея Ситникова</t>
        </is>
      </c>
      <c r="E921" s="1" t="inlineStr">
        <is>
          <t>KARMALOGIC+KARMACOACH - Проект Ситникова. В 2-х т. Ситников А.П.</t>
        </is>
      </c>
      <c r="F921" s="13" t="inlineStr">
        <is>
          <t>См.обл.</t>
        </is>
      </c>
      <c r="G921" s="1" t="inlineStr">
        <is>
          <t>Ситников А.П.</t>
        </is>
      </c>
      <c r="H921" s="1" t="inlineStr">
        <is>
          <t>70х100/16</t>
        </is>
      </c>
      <c r="I921" s="1" t="n">
        <v>1784</v>
      </c>
      <c r="J921" s="1" t="inlineStr">
        <is>
          <t>РИПОЛ Классик</t>
        </is>
      </c>
      <c r="M921" s="1" t="inlineStr">
        <is>
          <t>2023</t>
        </is>
      </c>
      <c r="N921" s="1" t="inlineStr">
        <is>
          <t>П</t>
        </is>
      </c>
      <c r="O921" s="9" t="n">
        <v>1</v>
      </c>
      <c r="P921" s="1">
        <f>ROUNDUP(4750*(1-$F$3),2)</f>
        <v/>
      </c>
      <c r="Q921" s="1" t="inlineStr">
        <is>
          <t> </t>
        </is>
      </c>
      <c r="R921" s="1" t="inlineStr">
        <is>
          <t>978-5-521-80861-8</t>
        </is>
      </c>
      <c r="S921" s="1" t="inlineStr">
        <is>
          <t>9785521808618</t>
        </is>
      </c>
      <c r="T921" s="9" t="n">
        <v>10</v>
      </c>
      <c r="U921" s="1">
        <f>ROUNDUP(4318.18*(1-$F$3),2)</f>
        <v/>
      </c>
      <c r="V921" s="1" t="n">
        <v>2625</v>
      </c>
      <c r="Y921" s="1" t="inlineStr">
        <is>
          <t>KARMALOGIC+KARMACOACH - Проект Ситникова. В 2-х т</t>
        </is>
      </c>
      <c r="Z921" s="1" t="inlineStr">
        <is>
          <t>16+</t>
        </is>
      </c>
      <c r="AA921" s="12" t="n">
        <v>45238</v>
      </c>
      <c r="AB921" s="1" t="inlineStr">
        <is>
          <t>Гуманитарные науки</t>
        </is>
      </c>
      <c r="AC921" s="1" t="inlineStr">
        <is>
          <t>Психология</t>
        </is>
      </c>
      <c r="AD921" s="1" t="inlineStr">
        <is>
          <t>Психология личности. Характер. Личностный рост</t>
        </is>
      </c>
      <c r="AE921" s="1" t="inlineStr">
        <is>
          <t>офсетная</t>
        </is>
      </c>
      <c r="AG921" s="1" t="n">
        <v>11144140</v>
      </c>
      <c r="AI921" s="1" t="inlineStr">
        <is>
          <t>4901990000</t>
        </is>
      </c>
    </row>
    <row r="922" customFormat="1" s="1">
      <c r="C922" s="1" t="inlineStr">
        <is>
          <t xml:space="preserve">11436410            </t>
        </is>
      </c>
      <c r="D922" s="1" t="inlineStr">
        <is>
          <t>Проект Алексея Ситникова</t>
        </is>
      </c>
      <c r="E922" s="1" t="inlineStr">
        <is>
          <t>KARMAMAGIC. Краткая версия (обл.). Ситников А.П.</t>
        </is>
      </c>
      <c r="F922" s="13" t="inlineStr">
        <is>
          <t>См.обл.</t>
        </is>
      </c>
      <c r="G922" s="1" t="inlineStr">
        <is>
          <t>Ситников А.П.</t>
        </is>
      </c>
      <c r="H922" s="1" t="inlineStr">
        <is>
          <t>76х100/32</t>
        </is>
      </c>
      <c r="I922" s="1" t="n">
        <v>800</v>
      </c>
      <c r="J922" s="1" t="inlineStr">
        <is>
          <t>РИПОЛ Классик</t>
        </is>
      </c>
      <c r="M922" s="1" t="inlineStr">
        <is>
          <t>2024</t>
        </is>
      </c>
      <c r="N922" s="1" t="inlineStr">
        <is>
          <t>О</t>
        </is>
      </c>
      <c r="O922" s="9" t="n">
        <v>5</v>
      </c>
      <c r="P922" s="1">
        <f>ROUNDUP(1190*(1-$F$3),2)</f>
        <v/>
      </c>
      <c r="Q922" s="1" t="inlineStr">
        <is>
          <t> </t>
        </is>
      </c>
      <c r="R922" s="1" t="inlineStr">
        <is>
          <t>978-5-386-15290-1</t>
        </is>
      </c>
      <c r="S922" s="1" t="inlineStr">
        <is>
          <t>9785386152901</t>
        </is>
      </c>
      <c r="T922" s="9" t="n">
        <v>10</v>
      </c>
      <c r="U922" s="1">
        <f>ROUNDUP(1081.82*(1-$F$3),2)</f>
        <v/>
      </c>
      <c r="V922" s="1" t="n">
        <v>556</v>
      </c>
      <c r="Y922" s="1" t="inlineStr">
        <is>
          <t>KARMAMAGIC. Краткая версия (обл.)</t>
        </is>
      </c>
      <c r="Z922" s="1" t="inlineStr">
        <is>
          <t>16+</t>
        </is>
      </c>
      <c r="AA922" s="12" t="n">
        <v>45573</v>
      </c>
      <c r="AB922" s="1" t="inlineStr">
        <is>
          <t>Гуманитарные науки</t>
        </is>
      </c>
      <c r="AC922" s="1" t="inlineStr">
        <is>
          <t>Психология</t>
        </is>
      </c>
      <c r="AD922" s="1" t="inlineStr">
        <is>
          <t>Психология личности. Характер. Личностный рост</t>
        </is>
      </c>
      <c r="AE922" s="1" t="inlineStr">
        <is>
          <t>офсетная</t>
        </is>
      </c>
      <c r="AG922" s="1" t="n">
        <v>11436410</v>
      </c>
      <c r="AI922" s="1" t="inlineStr">
        <is>
          <t>4901990000</t>
        </is>
      </c>
    </row>
    <row r="923" customFormat="1" s="1">
      <c r="C923" s="1" t="inlineStr">
        <is>
          <t xml:space="preserve">11316950            </t>
        </is>
      </c>
      <c r="D923" s="1" t="inlineStr">
        <is>
          <t>Проект Алексея Ситникова</t>
        </is>
      </c>
      <c r="E923" s="1" t="inlineStr">
        <is>
          <t>KARMAMAGIC. Ситников А.П.</t>
        </is>
      </c>
      <c r="F923" s="13" t="inlineStr">
        <is>
          <t>См.обл.</t>
        </is>
      </c>
      <c r="G923" s="1" t="inlineStr">
        <is>
          <t>Ситников А.П.</t>
        </is>
      </c>
      <c r="H923" s="1" t="inlineStr">
        <is>
          <t>70х100/16</t>
        </is>
      </c>
      <c r="I923" s="1" t="n">
        <v>832</v>
      </c>
      <c r="J923" s="1" t="inlineStr">
        <is>
          <t>РИПОЛ Классик</t>
        </is>
      </c>
      <c r="M923" s="1" t="inlineStr">
        <is>
          <t>2024</t>
        </is>
      </c>
      <c r="N923" s="1" t="inlineStr">
        <is>
          <t>П</t>
        </is>
      </c>
      <c r="O923" s="9" t="n">
        <v>3</v>
      </c>
      <c r="P923" s="1">
        <f>ROUNDUP(2490*(1-$F$3),2)</f>
        <v/>
      </c>
      <c r="Q923" s="1" t="inlineStr">
        <is>
          <t> </t>
        </is>
      </c>
      <c r="R923" s="1" t="inlineStr">
        <is>
          <t>978-5-386-15201-7</t>
        </is>
      </c>
      <c r="S923" s="1" t="inlineStr">
        <is>
          <t>9785386152017</t>
        </is>
      </c>
      <c r="T923" s="9" t="n">
        <v>10</v>
      </c>
      <c r="U923" s="1">
        <f>ROUNDUP(2263.64*(1-$F$3),2)</f>
        <v/>
      </c>
      <c r="V923" s="1" t="n">
        <v>1232</v>
      </c>
      <c r="Y923" s="1" t="inlineStr">
        <is>
          <t>KARMAMAGIC</t>
        </is>
      </c>
      <c r="Z923" s="1" t="inlineStr">
        <is>
          <t>16+</t>
        </is>
      </c>
      <c r="AA923" s="12" t="n">
        <v>45438</v>
      </c>
      <c r="AB923" s="1" t="inlineStr">
        <is>
          <t>Гуманитарные науки</t>
        </is>
      </c>
      <c r="AC923" s="1" t="inlineStr">
        <is>
          <t>Психология</t>
        </is>
      </c>
      <c r="AD923" s="1" t="inlineStr">
        <is>
          <t>Психология личности. Характер. Личностный рост</t>
        </is>
      </c>
      <c r="AE923" s="1" t="inlineStr">
        <is>
          <t>офсетная</t>
        </is>
      </c>
      <c r="AG923" s="1" t="n">
        <v>11316950</v>
      </c>
      <c r="AI923" s="1" t="inlineStr">
        <is>
          <t>4901990000</t>
        </is>
      </c>
    </row>
    <row r="924" customFormat="1" s="1">
      <c r="C924" s="1" t="inlineStr">
        <is>
          <t xml:space="preserve">11184820            </t>
        </is>
      </c>
      <c r="D924" s="1" t="inlineStr">
        <is>
          <t>Проза XXI</t>
        </is>
      </c>
      <c r="E924" s="1" t="inlineStr">
        <is>
          <t>Далеко и близко. Лагутина Л.</t>
        </is>
      </c>
      <c r="F924" s="13" t="inlineStr">
        <is>
          <t>См.обл.</t>
        </is>
      </c>
      <c r="G924" s="1" t="inlineStr">
        <is>
          <t>Лагутина Л.</t>
        </is>
      </c>
      <c r="H924" s="1" t="inlineStr">
        <is>
          <t>60х90/16</t>
        </is>
      </c>
      <c r="I924" s="1" t="n">
        <v>168</v>
      </c>
      <c r="J924" s="1" t="inlineStr">
        <is>
          <t>РИПОЛ Классик</t>
        </is>
      </c>
      <c r="M924" s="1" t="inlineStr">
        <is>
          <t>2024</t>
        </is>
      </c>
      <c r="N924" s="1" t="inlineStr">
        <is>
          <t>П</t>
        </is>
      </c>
      <c r="O924" s="9" t="n">
        <v>18</v>
      </c>
      <c r="P924" s="1">
        <f>ROUNDUP(1490*(1-$F$3),2)</f>
        <v/>
      </c>
      <c r="Q924" s="1" t="inlineStr">
        <is>
          <t> </t>
        </is>
      </c>
      <c r="R924" s="1" t="inlineStr">
        <is>
          <t>978-5-386-15096-9</t>
        </is>
      </c>
      <c r="S924" s="1" t="inlineStr">
        <is>
          <t>9785386150969</t>
        </is>
      </c>
      <c r="T924" s="9" t="n">
        <v>10</v>
      </c>
      <c r="U924" s="1">
        <f>ROUNDUP(1354.55*(1-$F$3),2)</f>
        <v/>
      </c>
      <c r="V924" s="1" t="n">
        <v>314</v>
      </c>
      <c r="Y924" s="1" t="inlineStr">
        <is>
          <t>Далеко и близко</t>
        </is>
      </c>
      <c r="Z924" s="1" t="inlineStr">
        <is>
          <t>6 +</t>
        </is>
      </c>
      <c r="AA924" s="12" t="n">
        <v>45281</v>
      </c>
      <c r="AB924" s="1" t="inlineStr">
        <is>
          <t>Художественная литература</t>
        </is>
      </c>
      <c r="AC924" s="1" t="inlineStr">
        <is>
          <t>Русская литература</t>
        </is>
      </c>
      <c r="AD924" s="1" t="inlineStr">
        <is>
          <t>Современная литература</t>
        </is>
      </c>
      <c r="AE924" s="1" t="inlineStr">
        <is>
          <t>офсетная</t>
        </is>
      </c>
      <c r="AG924" s="1" t="n">
        <v>11184820</v>
      </c>
      <c r="AI924" s="1" t="inlineStr">
        <is>
          <t>4901990000</t>
        </is>
      </c>
    </row>
    <row r="925" customFormat="1" s="1">
      <c r="C925" s="1" t="inlineStr">
        <is>
          <t xml:space="preserve">8969400             </t>
        </is>
      </c>
      <c r="D925" s="1" t="inlineStr">
        <is>
          <t>Проза толстых литературных журналов</t>
        </is>
      </c>
      <c r="E925" s="1" t="inlineStr">
        <is>
          <t>Варшава, Элохим!: роман. Леонтьев А.</t>
        </is>
      </c>
      <c r="F925" s="13" t="inlineStr">
        <is>
          <t>См.обл.</t>
        </is>
      </c>
      <c r="G925" s="1" t="inlineStr">
        <is>
          <t>Леонтьев А.</t>
        </is>
      </c>
      <c r="H925" s="1" t="inlineStr">
        <is>
          <t>60х90/16</t>
        </is>
      </c>
      <c r="I925" s="1" t="n">
        <v>240</v>
      </c>
      <c r="J925" s="1" t="inlineStr">
        <is>
          <t>РИПОЛ Классик</t>
        </is>
      </c>
      <c r="K925" s="1" t="inlineStr">
        <is>
          <t>Пальмира</t>
        </is>
      </c>
      <c r="M925" s="1" t="inlineStr">
        <is>
          <t>2021</t>
        </is>
      </c>
      <c r="N925" s="1" t="inlineStr">
        <is>
          <t>П</t>
        </is>
      </c>
      <c r="O925" s="9" t="n">
        <v>16</v>
      </c>
      <c r="P925" s="1">
        <f>ROUNDUP(1010*(1-$F$3),2)</f>
        <v/>
      </c>
      <c r="Q925" s="1" t="inlineStr">
        <is>
          <t> </t>
        </is>
      </c>
      <c r="R925" s="1" t="inlineStr">
        <is>
          <t>978-5-386-12504-2</t>
        </is>
      </c>
      <c r="S925" s="1" t="inlineStr">
        <is>
          <t>9785386125042</t>
        </is>
      </c>
      <c r="T925" s="9" t="n">
        <v>10</v>
      </c>
      <c r="U925" s="1">
        <f>ROUNDUP(918.18*(1-$F$3),2)</f>
        <v/>
      </c>
      <c r="V925" s="1" t="n">
        <v>351</v>
      </c>
      <c r="Y925" s="1" t="inlineStr">
        <is>
          <t>Варшава, Элохим!: роман</t>
        </is>
      </c>
      <c r="Z925" s="1" t="inlineStr">
        <is>
          <t>18+</t>
        </is>
      </c>
      <c r="AA925" s="12" t="n">
        <v>43535</v>
      </c>
      <c r="AB925" s="1" t="inlineStr">
        <is>
          <t>Художественная литература</t>
        </is>
      </c>
      <c r="AC925" s="1" t="inlineStr">
        <is>
          <t>Историческая проза</t>
        </is>
      </c>
      <c r="AD925" s="1" t="inlineStr">
        <is>
          <t>Русская историческая проза</t>
        </is>
      </c>
      <c r="AE925" s="1" t="inlineStr">
        <is>
          <t>офсетная</t>
        </is>
      </c>
      <c r="AG925" s="1" t="n">
        <v>8969400</v>
      </c>
      <c r="AI925" s="1" t="inlineStr">
        <is>
          <t>4901990000</t>
        </is>
      </c>
    </row>
    <row r="926" customFormat="1" s="1">
      <c r="C926" s="1" t="inlineStr">
        <is>
          <t xml:space="preserve">9950650             </t>
        </is>
      </c>
      <c r="D926" s="1" t="inlineStr">
        <is>
          <t>Прости за любовь</t>
        </is>
      </c>
      <c r="E926" s="1" t="inlineStr">
        <is>
          <t>Тысяча ночей без тебя. Моччиа Ф.</t>
        </is>
      </c>
      <c r="F926" s="13" t="inlineStr">
        <is>
          <t>См.обл.</t>
        </is>
      </c>
      <c r="G926" s="1" t="inlineStr">
        <is>
          <t>Моччиа Ф.</t>
        </is>
      </c>
      <c r="H926" s="1" t="inlineStr">
        <is>
          <t>84х108/32</t>
        </is>
      </c>
      <c r="I926" s="1" t="n">
        <v>384</v>
      </c>
      <c r="J926" s="1" t="inlineStr">
        <is>
          <t>РИПОЛ Классик</t>
        </is>
      </c>
      <c r="M926" s="1" t="inlineStr">
        <is>
          <t>2022</t>
        </is>
      </c>
      <c r="N926" s="1" t="inlineStr">
        <is>
          <t>П</t>
        </is>
      </c>
      <c r="O926" s="9" t="n">
        <v>8</v>
      </c>
      <c r="P926" s="1">
        <f>ROUNDUP(1300*(1-$F$3),2)</f>
        <v/>
      </c>
      <c r="Q926" s="1" t="inlineStr">
        <is>
          <t> </t>
        </is>
      </c>
      <c r="R926" s="1" t="inlineStr">
        <is>
          <t>978-5-386-14530-9</t>
        </is>
      </c>
      <c r="S926" s="1" t="inlineStr">
        <is>
          <t>9785386145309</t>
        </is>
      </c>
      <c r="T926" s="9" t="n">
        <v>10</v>
      </c>
      <c r="U926" s="1">
        <f>ROUNDUP(1181.82*(1-$F$3),2)</f>
        <v/>
      </c>
      <c r="V926" s="1" t="n">
        <v>417</v>
      </c>
      <c r="Y926" s="1" t="inlineStr">
        <is>
          <t>Тысяча ночей без тебя</t>
        </is>
      </c>
      <c r="Z926" s="1" t="inlineStr">
        <is>
          <t>18+</t>
        </is>
      </c>
      <c r="AA926" s="12" t="n">
        <v>44524</v>
      </c>
      <c r="AB926" s="1" t="inlineStr">
        <is>
          <t>Художественная литература</t>
        </is>
      </c>
      <c r="AC926" s="1" t="inlineStr">
        <is>
          <t>Сентиментальная проза</t>
        </is>
      </c>
      <c r="AD926" s="1" t="inlineStr">
        <is>
          <t>Зарубежный сентиментальный роман</t>
        </is>
      </c>
      <c r="AE926" s="1" t="inlineStr">
        <is>
          <t>офсетная</t>
        </is>
      </c>
      <c r="AG926" s="1" t="n">
        <v>9950650</v>
      </c>
      <c r="AI926" s="1" t="inlineStr">
        <is>
          <t>4901990000</t>
        </is>
      </c>
      <c r="AJ926" s="1" t="inlineStr">
        <is>
          <t>Зпв</t>
        </is>
      </c>
    </row>
    <row r="927" customFormat="1" s="1">
      <c r="C927" s="1" t="inlineStr">
        <is>
          <t xml:space="preserve">9793360             </t>
        </is>
      </c>
      <c r="D927" s="1" t="inlineStr">
        <is>
          <t>Прости за любовь</t>
        </is>
      </c>
      <c r="E927" s="1" t="inlineStr">
        <is>
          <t>Человек, который не хотел любить. Моччиа Ф.</t>
        </is>
      </c>
      <c r="F927" s="13" t="inlineStr">
        <is>
          <t>См.обл.</t>
        </is>
      </c>
      <c r="G927" s="1" t="inlineStr">
        <is>
          <t>Моччиа Ф.</t>
        </is>
      </c>
      <c r="H927" s="1" t="inlineStr">
        <is>
          <t>84х108/32</t>
        </is>
      </c>
      <c r="I927" s="1" t="n">
        <v>368</v>
      </c>
      <c r="J927" s="1" t="inlineStr">
        <is>
          <t>РИПОЛ Классик</t>
        </is>
      </c>
      <c r="M927" s="1" t="inlineStr">
        <is>
          <t>2021</t>
        </is>
      </c>
      <c r="N927" s="1" t="inlineStr">
        <is>
          <t>П</t>
        </is>
      </c>
      <c r="O927" s="9" t="n">
        <v>8</v>
      </c>
      <c r="P927" s="1">
        <f>ROUNDUP(1240*(1-$F$3),2)</f>
        <v/>
      </c>
      <c r="Q927" s="1" t="inlineStr">
        <is>
          <t> </t>
        </is>
      </c>
      <c r="R927" s="1" t="inlineStr">
        <is>
          <t>978-5-386-14356-5</t>
        </is>
      </c>
      <c r="S927" s="1" t="inlineStr">
        <is>
          <t>9785386143565</t>
        </is>
      </c>
      <c r="T927" s="9" t="n">
        <v>10</v>
      </c>
      <c r="U927" s="1">
        <f>ROUNDUP(1127.27*(1-$F$3),2)</f>
        <v/>
      </c>
      <c r="V927" s="1" t="n">
        <v>379</v>
      </c>
      <c r="Y927" s="1" t="inlineStr">
        <is>
          <t>Человек, который не хотел любить</t>
        </is>
      </c>
      <c r="Z927" s="1" t="inlineStr">
        <is>
          <t>18+</t>
        </is>
      </c>
      <c r="AA927" s="12" t="n">
        <v>44439</v>
      </c>
      <c r="AB927" s="1" t="inlineStr">
        <is>
          <t>Художественная литература</t>
        </is>
      </c>
      <c r="AC927" s="1" t="inlineStr">
        <is>
          <t>Сентиментальная проза</t>
        </is>
      </c>
      <c r="AD927" s="1" t="inlineStr">
        <is>
          <t>Зарубежный сентиментальный роман</t>
        </is>
      </c>
      <c r="AE927" s="1" t="inlineStr">
        <is>
          <t>офсетная</t>
        </is>
      </c>
      <c r="AG927" s="1" t="n">
        <v>9793360</v>
      </c>
      <c r="AI927" s="1" t="inlineStr">
        <is>
          <t>4901990000</t>
        </is>
      </c>
      <c r="AJ927" s="1" t="inlineStr">
        <is>
          <t>Зпв</t>
        </is>
      </c>
    </row>
    <row r="928" customFormat="1" s="1">
      <c r="C928" s="1" t="inlineStr">
        <is>
          <t xml:space="preserve">9437230             </t>
        </is>
      </c>
      <c r="D928" s="1" t="inlineStr">
        <is>
          <t>Психоматрица Александрова</t>
        </is>
      </c>
      <c r="E928" s="1" t="inlineStr">
        <is>
          <t>Мужчина и женщина от 0 до 999. Практическое руководство по трансформации отношений. Александров А.Ф.</t>
        </is>
      </c>
      <c r="F928" s="13" t="inlineStr">
        <is>
          <t>См.обл.</t>
        </is>
      </c>
      <c r="G928" s="1" t="inlineStr">
        <is>
          <t>Александров А.Ф.</t>
        </is>
      </c>
      <c r="H928" s="1" t="inlineStr">
        <is>
          <t>84х108/32</t>
        </is>
      </c>
      <c r="I928" s="1" t="n">
        <v>320</v>
      </c>
      <c r="J928" s="1" t="inlineStr">
        <is>
          <t>РИПОЛ Классик</t>
        </is>
      </c>
      <c r="M928" s="1" t="inlineStr">
        <is>
          <t>2020</t>
        </is>
      </c>
      <c r="N928" s="1" t="inlineStr">
        <is>
          <t>П</t>
        </is>
      </c>
      <c r="O928" s="9" t="n">
        <v>10</v>
      </c>
      <c r="P928" s="1">
        <f>ROUNDUP(1030*(1-$F$3),2)</f>
        <v/>
      </c>
      <c r="Q928" s="1" t="inlineStr">
        <is>
          <t> </t>
        </is>
      </c>
      <c r="R928" s="1" t="inlineStr">
        <is>
          <t>978-5-386-13723-6</t>
        </is>
      </c>
      <c r="S928" s="1" t="inlineStr">
        <is>
          <t>9785386137236</t>
        </is>
      </c>
      <c r="T928" s="9" t="n">
        <v>22</v>
      </c>
      <c r="U928" s="1">
        <f>ROUNDUP(844.26*(1-$F$3),2)</f>
        <v/>
      </c>
      <c r="V928" s="1" t="n">
        <v>269</v>
      </c>
      <c r="Y928" s="1" t="inlineStr">
        <is>
          <t>Мужчина и женщина от 0 до 999. Практическое руководство по трансформации отношений</t>
        </is>
      </c>
      <c r="Z928" s="1" t="inlineStr">
        <is>
          <t>16+</t>
        </is>
      </c>
      <c r="AA928" s="12" t="n">
        <v>44032</v>
      </c>
      <c r="AB928" s="1" t="inlineStr">
        <is>
          <t>Гуманитарные науки</t>
        </is>
      </c>
      <c r="AC928" s="1" t="inlineStr">
        <is>
          <t>Психология</t>
        </is>
      </c>
      <c r="AD928" s="1" t="inlineStr">
        <is>
          <t>Прикладная психология</t>
        </is>
      </c>
      <c r="AE928" s="1" t="inlineStr">
        <is>
          <t>газетная</t>
        </is>
      </c>
      <c r="AG928" s="1" t="n">
        <v>9437230</v>
      </c>
      <c r="AI928" s="1" t="inlineStr">
        <is>
          <t>4901990000</t>
        </is>
      </c>
    </row>
    <row r="929" customFormat="1" s="1">
      <c r="C929" s="1" t="inlineStr">
        <is>
          <t xml:space="preserve">10377360            </t>
        </is>
      </c>
      <c r="D929" s="1" t="inlineStr">
        <is>
          <t>Путь Игры</t>
        </is>
      </c>
      <c r="E929" s="1" t="inlineStr">
        <is>
          <t>Самоосвобождающаяся Игра, или Алхимия Артистического Мастерства. Демчог В.В.</t>
        </is>
      </c>
      <c r="F929" s="13" t="inlineStr">
        <is>
          <t>См.обл.</t>
        </is>
      </c>
      <c r="G929" s="1" t="inlineStr">
        <is>
          <t>Демчог В.В.</t>
        </is>
      </c>
      <c r="H929" s="1" t="inlineStr">
        <is>
          <t>70х100/16</t>
        </is>
      </c>
      <c r="I929" s="1" t="n">
        <v>546</v>
      </c>
      <c r="J929" s="1" t="inlineStr">
        <is>
          <t>РИПОЛ Классик</t>
        </is>
      </c>
      <c r="M929" s="1" t="inlineStr">
        <is>
          <t>2026</t>
        </is>
      </c>
      <c r="N929" s="1" t="inlineStr">
        <is>
          <t>П</t>
        </is>
      </c>
      <c r="O929" s="9" t="n">
        <v>5</v>
      </c>
      <c r="P929" s="1">
        <f>ROUNDUP(2000*(1-$F$3),2)</f>
        <v/>
      </c>
      <c r="Q929" s="1" t="inlineStr">
        <is>
          <t> </t>
        </is>
      </c>
      <c r="R929" s="1" t="inlineStr">
        <is>
          <t>978-5-386-14673-3</t>
        </is>
      </c>
      <c r="S929" s="1" t="inlineStr">
        <is>
          <t>9785386146733</t>
        </is>
      </c>
      <c r="T929" s="9" t="n">
        <v>10</v>
      </c>
      <c r="U929" s="1">
        <f>ROUNDUP(1818.18*(1-$F$3),2)</f>
        <v/>
      </c>
      <c r="V929" s="1" t="n">
        <v>824</v>
      </c>
      <c r="Y929" s="1" t="inlineStr">
        <is>
          <t>Самоосвобождающаяся Игра, или Алхимия Артистического Мастерства</t>
        </is>
      </c>
      <c r="Z929" s="1" t="inlineStr">
        <is>
          <t>16+</t>
        </is>
      </c>
      <c r="AA929" s="12" t="n">
        <v>44669</v>
      </c>
      <c r="AB929" s="1" t="inlineStr">
        <is>
          <t>Искусство</t>
        </is>
      </c>
      <c r="AC929" s="1" t="inlineStr">
        <is>
          <t>Музыка и зрелищные искусства</t>
        </is>
      </c>
      <c r="AD929" s="1" t="inlineStr">
        <is>
          <t>Театр (драматический, музыкальный, кукольный)</t>
        </is>
      </c>
      <c r="AE929" s="1" t="inlineStr">
        <is>
          <t>офсетная</t>
        </is>
      </c>
      <c r="AG929" s="1" t="n">
        <v>10377360</v>
      </c>
      <c r="AI929" s="1" t="inlineStr">
        <is>
          <t>4901990000</t>
        </is>
      </c>
      <c r="AJ929" s="1" t="inlineStr">
        <is>
          <t>Зпв</t>
        </is>
      </c>
    </row>
    <row r="930" customFormat="1" s="1">
      <c r="C930" s="1" t="inlineStr">
        <is>
          <t xml:space="preserve">8934360             </t>
        </is>
      </c>
      <c r="D930" s="1" t="inlineStr">
        <is>
          <t>Пылающее королевство</t>
        </is>
      </c>
      <c r="E930" s="1" t="inlineStr">
        <is>
          <t>Мрачно темнеющий свет: роман. Клусс Дж.</t>
        </is>
      </c>
      <c r="F930" s="13" t="inlineStr">
        <is>
          <t>См.обл.</t>
        </is>
      </c>
      <c r="G930" s="1" t="inlineStr">
        <is>
          <t>Клусс Дж.</t>
        </is>
      </c>
      <c r="H930" s="1" t="inlineStr">
        <is>
          <t>84х108/32</t>
        </is>
      </c>
      <c r="I930" s="1" t="n">
        <v>400</v>
      </c>
      <c r="J930" s="1" t="inlineStr">
        <is>
          <t>РИПОЛ Классик</t>
        </is>
      </c>
      <c r="K930" s="1" t="inlineStr">
        <is>
          <t>Пальмира</t>
        </is>
      </c>
      <c r="M930" s="1" t="inlineStr">
        <is>
          <t>2020</t>
        </is>
      </c>
      <c r="N930" s="1" t="inlineStr">
        <is>
          <t>П</t>
        </is>
      </c>
      <c r="O930" s="9" t="n">
        <v>8</v>
      </c>
      <c r="P930" s="1">
        <f>ROUNDUP(1119*(1-$F$3),2)</f>
        <v/>
      </c>
      <c r="Q930" s="1" t="inlineStr">
        <is>
          <t> </t>
        </is>
      </c>
      <c r="R930" s="1" t="inlineStr">
        <is>
          <t>978-5-386-12439-7</t>
        </is>
      </c>
      <c r="S930" s="1" t="inlineStr">
        <is>
          <t>9785386124397</t>
        </is>
      </c>
      <c r="T930" s="9" t="n">
        <v>10</v>
      </c>
      <c r="U930" s="1">
        <f>ROUNDUP(1017.27*(1-$F$3),2)</f>
        <v/>
      </c>
      <c r="V930" s="1" t="n">
        <v>447</v>
      </c>
      <c r="Y930" s="1" t="inlineStr">
        <is>
          <t>Мрачно темнеющий свет: роман</t>
        </is>
      </c>
      <c r="Z930" s="1" t="inlineStr">
        <is>
          <t>12+</t>
        </is>
      </c>
      <c r="AA930" s="12" t="n">
        <v>43509</v>
      </c>
      <c r="AB930" s="1" t="inlineStr">
        <is>
          <t>Художественная литература</t>
        </is>
      </c>
      <c r="AC930" s="1" t="inlineStr">
        <is>
          <t>Фантастика. Мистика. Ужасы</t>
        </is>
      </c>
      <c r="AD930" s="1" t="inlineStr">
        <is>
          <t>Зарубежная фантастика</t>
        </is>
      </c>
      <c r="AE930" s="1" t="inlineStr">
        <is>
          <t>офсетная</t>
        </is>
      </c>
      <c r="AG930" s="1" t="n">
        <v>8934360</v>
      </c>
      <c r="AI930" s="1" t="inlineStr">
        <is>
          <t>4901990000</t>
        </is>
      </c>
    </row>
    <row r="931" customFormat="1" s="1">
      <c r="C931" s="1" t="inlineStr">
        <is>
          <t xml:space="preserve">8817640             </t>
        </is>
      </c>
      <c r="D931" s="1" t="inlineStr">
        <is>
          <t>Пылающее королевство</t>
        </is>
      </c>
      <c r="E931" s="1" t="inlineStr">
        <is>
          <t>Ярко пылающая тень: роман. Клусс Дж.</t>
        </is>
      </c>
      <c r="F931" s="13" t="inlineStr">
        <is>
          <t>См.обл.</t>
        </is>
      </c>
      <c r="G931" s="1" t="inlineStr">
        <is>
          <t>Клусс Дж.</t>
        </is>
      </c>
      <c r="H931" s="1" t="inlineStr">
        <is>
          <t>84х108/32</t>
        </is>
      </c>
      <c r="I931" s="1" t="n">
        <v>448</v>
      </c>
      <c r="J931" s="1" t="inlineStr">
        <is>
          <t>РИПОЛ Классик</t>
        </is>
      </c>
      <c r="K931" s="1" t="inlineStr">
        <is>
          <t>Пальмира</t>
        </is>
      </c>
      <c r="M931" s="1" t="inlineStr">
        <is>
          <t>2021</t>
        </is>
      </c>
      <c r="N931" s="1" t="inlineStr">
        <is>
          <t>П</t>
        </is>
      </c>
      <c r="O931" s="9" t="n">
        <v>10</v>
      </c>
      <c r="P931" s="1">
        <f>ROUNDUP(1178*(1-$F$3),2)</f>
        <v/>
      </c>
      <c r="Q931" s="1" t="inlineStr">
        <is>
          <t> </t>
        </is>
      </c>
      <c r="R931" s="1" t="inlineStr">
        <is>
          <t>978-5-386-10522-8</t>
        </is>
      </c>
      <c r="S931" s="1" t="inlineStr">
        <is>
          <t>9785386105228</t>
        </is>
      </c>
      <c r="T931" s="9" t="n">
        <v>10</v>
      </c>
      <c r="U931" s="1">
        <f>ROUNDUP(1070.91*(1-$F$3),2)</f>
        <v/>
      </c>
      <c r="V931" s="1" t="n">
        <v>479</v>
      </c>
      <c r="Y931" s="1" t="inlineStr">
        <is>
          <t>Ярко пылающая тень: роман</t>
        </is>
      </c>
      <c r="Z931" s="1" t="inlineStr">
        <is>
          <t>12+</t>
        </is>
      </c>
      <c r="AA931" s="12" t="n">
        <v>43396</v>
      </c>
      <c r="AB931" s="1" t="inlineStr">
        <is>
          <t>Художественная литература</t>
        </is>
      </c>
      <c r="AC931" s="1" t="inlineStr">
        <is>
          <t>Фантастика. Мистика. Ужасы</t>
        </is>
      </c>
      <c r="AD931" s="1" t="inlineStr">
        <is>
          <t>Зарубежная фантастика</t>
        </is>
      </c>
      <c r="AE931" s="1" t="inlineStr">
        <is>
          <t>офсетная</t>
        </is>
      </c>
      <c r="AG931" s="1" t="n">
        <v>8817640</v>
      </c>
      <c r="AI931" s="1" t="inlineStr">
        <is>
          <t>4901990000</t>
        </is>
      </c>
    </row>
    <row r="932" customFormat="1" s="1">
      <c r="C932" s="1" t="inlineStr">
        <is>
          <t xml:space="preserve">8899310             </t>
        </is>
      </c>
      <c r="D932" s="1" t="inlineStr">
        <is>
          <t>Разум и чувства</t>
        </is>
      </c>
      <c r="E932" s="1" t="inlineStr">
        <is>
          <t>Алый Первоцвет возвращается: роман. Орци Э.</t>
        </is>
      </c>
      <c r="F932" s="13" t="inlineStr">
        <is>
          <t>См.обл.</t>
        </is>
      </c>
      <c r="G932" s="1" t="inlineStr">
        <is>
          <t>Орци Э.</t>
        </is>
      </c>
      <c r="H932" s="1" t="inlineStr">
        <is>
          <t>84х108/32</t>
        </is>
      </c>
      <c r="I932" s="1" t="n">
        <v>224</v>
      </c>
      <c r="J932" s="1" t="inlineStr">
        <is>
          <t>РИПОЛ Классик</t>
        </is>
      </c>
      <c r="K932" s="1" t="inlineStr">
        <is>
          <t>Пальмира</t>
        </is>
      </c>
      <c r="M932" s="1" t="inlineStr">
        <is>
          <t>2019</t>
        </is>
      </c>
      <c r="N932" s="1" t="inlineStr">
        <is>
          <t>П</t>
        </is>
      </c>
      <c r="O932" s="9" t="n">
        <v>14</v>
      </c>
      <c r="P932" s="1">
        <f>ROUNDUP(883.1*(1-$F$3),2)</f>
        <v/>
      </c>
      <c r="Q932" s="1" t="inlineStr">
        <is>
          <t> </t>
        </is>
      </c>
      <c r="R932" s="1" t="inlineStr">
        <is>
          <t>978-5-386-12433-5</t>
        </is>
      </c>
      <c r="S932" s="1" t="inlineStr">
        <is>
          <t>9785386124335</t>
        </is>
      </c>
      <c r="T932" s="9" t="n">
        <v>10</v>
      </c>
      <c r="U932" s="1">
        <f>ROUNDUP(802.82*(1-$F$3),2)</f>
        <v/>
      </c>
      <c r="V932" s="1" t="n">
        <v>297</v>
      </c>
      <c r="Y932" s="1" t="inlineStr">
        <is>
          <t>Алый Первоцвет возвращается: роман</t>
        </is>
      </c>
      <c r="Z932" s="1" t="inlineStr">
        <is>
          <t>12+</t>
        </is>
      </c>
      <c r="AA932" s="12" t="n">
        <v>43480</v>
      </c>
      <c r="AB932" s="1" t="inlineStr">
        <is>
          <t>Художественная литература</t>
        </is>
      </c>
      <c r="AC932" s="1" t="inlineStr">
        <is>
          <t>Зарубежная литература</t>
        </is>
      </c>
      <c r="AD932" s="1" t="inlineStr">
        <is>
          <t>Литература Америки и Австралии</t>
        </is>
      </c>
      <c r="AE932" s="1" t="inlineStr">
        <is>
          <t>офсетная</t>
        </is>
      </c>
      <c r="AG932" s="1" t="n">
        <v>8899310</v>
      </c>
      <c r="AI932" s="1" t="inlineStr">
        <is>
          <t>4901990000</t>
        </is>
      </c>
    </row>
    <row r="933" customFormat="1" s="1">
      <c r="C933" s="1" t="inlineStr">
        <is>
          <t xml:space="preserve">8825990             </t>
        </is>
      </c>
      <c r="D933" s="1" t="inlineStr">
        <is>
          <t>Разум и чувства</t>
        </is>
      </c>
      <c r="E933" s="1" t="inlineStr">
        <is>
          <t>Алый Первоцвет неуловим: роман. Орци Э.</t>
        </is>
      </c>
      <c r="F933" s="13" t="inlineStr">
        <is>
          <t>См.обл.</t>
        </is>
      </c>
      <c r="G933" s="1" t="inlineStr">
        <is>
          <t>Орци Э.</t>
        </is>
      </c>
      <c r="H933" s="1" t="inlineStr">
        <is>
          <t>84х108/32</t>
        </is>
      </c>
      <c r="I933" s="1" t="n">
        <v>304</v>
      </c>
      <c r="J933" s="1" t="inlineStr">
        <is>
          <t>РИПОЛ Классик</t>
        </is>
      </c>
      <c r="K933" s="1" t="inlineStr">
        <is>
          <t>Пальмира</t>
        </is>
      </c>
      <c r="M933" s="1" t="inlineStr">
        <is>
          <t>2019</t>
        </is>
      </c>
      <c r="N933" s="1" t="inlineStr">
        <is>
          <t>П</t>
        </is>
      </c>
      <c r="O933" s="9" t="n">
        <v>14</v>
      </c>
      <c r="P933" s="1">
        <f>ROUNDUP(942.2*(1-$F$3),2)</f>
        <v/>
      </c>
      <c r="Q933" s="1" t="inlineStr">
        <is>
          <t> </t>
        </is>
      </c>
      <c r="R933" s="1" t="inlineStr">
        <is>
          <t>978-5-386-12270-6</t>
        </is>
      </c>
      <c r="S933" s="1" t="inlineStr">
        <is>
          <t>9785386122706</t>
        </is>
      </c>
      <c r="T933" s="9" t="n">
        <v>10</v>
      </c>
      <c r="U933" s="1">
        <f>ROUNDUP(856.55*(1-$F$3),2)</f>
        <v/>
      </c>
      <c r="V933" s="1" t="n">
        <v>353</v>
      </c>
      <c r="Y933" s="1" t="inlineStr">
        <is>
          <t>Алый Первоцвет неуловим: роман</t>
        </is>
      </c>
      <c r="Z933" s="1" t="inlineStr">
        <is>
          <t>12+</t>
        </is>
      </c>
      <c r="AA933" s="12" t="n">
        <v>43405</v>
      </c>
      <c r="AB933" s="1" t="inlineStr">
        <is>
          <t>Художественная литература</t>
        </is>
      </c>
      <c r="AC933" s="1" t="inlineStr">
        <is>
          <t>Зарубежная литература</t>
        </is>
      </c>
      <c r="AD933" s="1" t="inlineStr">
        <is>
          <t>Литература Америки и Австралии</t>
        </is>
      </c>
      <c r="AE933" s="1" t="inlineStr">
        <is>
          <t>офсетная</t>
        </is>
      </c>
      <c r="AG933" s="1" t="n">
        <v>8825990</v>
      </c>
      <c r="AI933" s="1" t="inlineStr">
        <is>
          <t>4901990000</t>
        </is>
      </c>
    </row>
    <row r="934" customFormat="1" s="1">
      <c r="C934" s="1" t="inlineStr">
        <is>
          <t>8756560</t>
        </is>
      </c>
      <c r="D934" s="1" t="inlineStr">
        <is>
          <t>Разум и чувства</t>
        </is>
      </c>
      <c r="E934" s="1" t="inlineStr">
        <is>
          <t>Джейн Эйр: роман. Бронте Ш.</t>
        </is>
      </c>
      <c r="F934" s="13" t="inlineStr">
        <is>
          <t>См.обл.</t>
        </is>
      </c>
      <c r="G934" s="1" t="inlineStr">
        <is>
          <t>Бронте Ш.</t>
        </is>
      </c>
      <c r="H934" s="1" t="inlineStr">
        <is>
          <t>84х108/32</t>
        </is>
      </c>
      <c r="I934" s="1" t="n">
        <v>624</v>
      </c>
      <c r="J934" s="1" t="inlineStr">
        <is>
          <t>РИПОЛ Классик</t>
        </is>
      </c>
      <c r="K934" s="1" t="inlineStr">
        <is>
          <t>Пальмира</t>
        </is>
      </c>
      <c r="M934" s="1" t="inlineStr">
        <is>
          <t>2020</t>
        </is>
      </c>
      <c r="N934" s="1" t="inlineStr">
        <is>
          <t>П</t>
        </is>
      </c>
      <c r="O934" s="9" t="n">
        <v>8</v>
      </c>
      <c r="P934" s="1">
        <f>ROUNDUP(1446.2*(1-$F$3),2)</f>
        <v/>
      </c>
      <c r="Q934" s="1" t="inlineStr">
        <is>
          <t> </t>
        </is>
      </c>
      <c r="R934" s="1" t="inlineStr">
        <is>
          <t>978-5-386-10836-6</t>
        </is>
      </c>
      <c r="S934" s="1" t="inlineStr">
        <is>
          <t>9785386108366</t>
        </is>
      </c>
      <c r="T934" s="9" t="n">
        <v>10</v>
      </c>
      <c r="U934" s="1">
        <f>ROUNDUP(1314.73*(1-$F$3),2)</f>
        <v/>
      </c>
      <c r="V934" s="1" t="n">
        <v>639</v>
      </c>
      <c r="Y934" s="1" t="inlineStr">
        <is>
          <t>Джейн Эйр: роман</t>
        </is>
      </c>
      <c r="Z934" s="1" t="inlineStr">
        <is>
          <t>12+</t>
        </is>
      </c>
      <c r="AA934" s="12" t="n">
        <v>43353</v>
      </c>
      <c r="AB934" s="1" t="inlineStr">
        <is>
          <t>Художественная литература</t>
        </is>
      </c>
      <c r="AC934" s="1" t="inlineStr">
        <is>
          <t>Зарубежная литература</t>
        </is>
      </c>
      <c r="AD934" s="1" t="inlineStr">
        <is>
          <t>Европейская литература</t>
        </is>
      </c>
      <c r="AE934" s="1" t="inlineStr">
        <is>
          <t>офсетная</t>
        </is>
      </c>
      <c r="AG934" s="1" t="n">
        <v>8756560</v>
      </c>
      <c r="AI934" s="1" t="inlineStr">
        <is>
          <t>4901990000</t>
        </is>
      </c>
    </row>
    <row r="935" customFormat="1" s="1">
      <c r="C935" s="1" t="inlineStr">
        <is>
          <t xml:space="preserve">8821790             </t>
        </is>
      </c>
      <c r="D935" s="1" t="inlineStr">
        <is>
          <t>Разум и чувства</t>
        </is>
      </c>
      <c r="E935" s="1" t="inlineStr">
        <is>
          <t>Книга Дины: роман. Вассму Х.</t>
        </is>
      </c>
      <c r="F935" s="13" t="inlineStr">
        <is>
          <t>См.обл.</t>
        </is>
      </c>
      <c r="G935" s="1" t="inlineStr">
        <is>
          <t>Вассму Х.</t>
        </is>
      </c>
      <c r="H935" s="1" t="inlineStr">
        <is>
          <t>84х108/32</t>
        </is>
      </c>
      <c r="I935" s="1" t="n">
        <v>542</v>
      </c>
      <c r="J935" s="1" t="inlineStr">
        <is>
          <t>РИПОЛ Классик</t>
        </is>
      </c>
      <c r="K935" s="1" t="inlineStr">
        <is>
          <t>Пальмира</t>
        </is>
      </c>
      <c r="M935" s="1" t="inlineStr">
        <is>
          <t>2019</t>
        </is>
      </c>
      <c r="N935" s="1" t="inlineStr">
        <is>
          <t>П</t>
        </is>
      </c>
      <c r="O935" s="9" t="n">
        <v>8</v>
      </c>
      <c r="P935" s="1">
        <f>ROUNDUP(1310.5*(1-$F$3),2)</f>
        <v/>
      </c>
      <c r="Q935" s="1" t="inlineStr">
        <is>
          <t> </t>
        </is>
      </c>
      <c r="R935" s="1" t="inlineStr">
        <is>
          <t>978-5-386-12278-2</t>
        </is>
      </c>
      <c r="S935" s="1" t="inlineStr">
        <is>
          <t>9785386122782</t>
        </is>
      </c>
      <c r="T935" s="9" t="n">
        <v>10</v>
      </c>
      <c r="U935" s="1">
        <f>ROUNDUP(1191.36*(1-$F$3),2)</f>
        <v/>
      </c>
      <c r="V935" s="1" t="n">
        <v>566</v>
      </c>
      <c r="Y935" s="1" t="inlineStr">
        <is>
          <t>Книга Дины: роман</t>
        </is>
      </c>
      <c r="Z935" s="1" t="inlineStr">
        <is>
          <t>16+</t>
        </is>
      </c>
      <c r="AA935" s="12" t="n">
        <v>43402</v>
      </c>
      <c r="AB935" s="1" t="inlineStr">
        <is>
          <t>Художественная литература</t>
        </is>
      </c>
      <c r="AC935" s="1" t="inlineStr">
        <is>
          <t>Зарубежная литература</t>
        </is>
      </c>
      <c r="AD935" s="1" t="inlineStr">
        <is>
          <t>Европейская литература</t>
        </is>
      </c>
      <c r="AE935" s="1" t="inlineStr">
        <is>
          <t>офсетная</t>
        </is>
      </c>
      <c r="AG935" s="1" t="n">
        <v>8821790</v>
      </c>
      <c r="AI935" s="1" t="inlineStr">
        <is>
          <t>4901990000</t>
        </is>
      </c>
    </row>
    <row r="936" customFormat="1" s="1">
      <c r="C936" s="1" t="inlineStr">
        <is>
          <t xml:space="preserve">8943740             </t>
        </is>
      </c>
      <c r="D936" s="1" t="inlineStr">
        <is>
          <t>Разум и чувства</t>
        </is>
      </c>
      <c r="E936" s="1" t="inlineStr">
        <is>
          <t>Лорна Дун: роман. Блэкмор Р.Д</t>
        </is>
      </c>
      <c r="F936" s="13" t="inlineStr">
        <is>
          <t>См.обл.</t>
        </is>
      </c>
      <c r="G936" s="1" t="inlineStr">
        <is>
          <t>Блэкмор Р.Д.</t>
        </is>
      </c>
      <c r="H936" s="1" t="inlineStr">
        <is>
          <t>84х108/32</t>
        </is>
      </c>
      <c r="I936" s="1" t="n">
        <v>384</v>
      </c>
      <c r="J936" s="1" t="inlineStr">
        <is>
          <t>РИПОЛ Классик</t>
        </is>
      </c>
      <c r="K936" s="1" t="inlineStr">
        <is>
          <t>Пальмира</t>
        </is>
      </c>
      <c r="M936" s="1" t="inlineStr">
        <is>
          <t>2020</t>
        </is>
      </c>
      <c r="N936" s="1" t="inlineStr">
        <is>
          <t>П</t>
        </is>
      </c>
      <c r="O936" s="9" t="n">
        <v>12</v>
      </c>
      <c r="P936" s="1">
        <f>ROUNDUP(1207.4*(1-$F$3),2)</f>
        <v/>
      </c>
      <c r="Q936" s="1" t="inlineStr">
        <is>
          <t> </t>
        </is>
      </c>
      <c r="R936" s="1" t="inlineStr">
        <is>
          <t>978-5-386-12041-2</t>
        </is>
      </c>
      <c r="S936" s="1" t="inlineStr">
        <is>
          <t>9785386120412</t>
        </is>
      </c>
      <c r="T936" s="9" t="n">
        <v>10</v>
      </c>
      <c r="U936" s="1">
        <f>ROUNDUP(1097.64*(1-$F$3),2)</f>
        <v/>
      </c>
      <c r="V936" s="1" t="n">
        <v>428</v>
      </c>
      <c r="Y936" s="1" t="inlineStr">
        <is>
          <t>Лорна Дун: роман</t>
        </is>
      </c>
      <c r="Z936" s="1" t="inlineStr">
        <is>
          <t>12+</t>
        </is>
      </c>
      <c r="AA936" s="12" t="n">
        <v>43517</v>
      </c>
      <c r="AB936" s="1" t="inlineStr">
        <is>
          <t>Художественная литература</t>
        </is>
      </c>
      <c r="AC936" s="1" t="inlineStr">
        <is>
          <t>Зарубежная литература</t>
        </is>
      </c>
      <c r="AD936" s="1" t="inlineStr">
        <is>
          <t>Европейская литература</t>
        </is>
      </c>
      <c r="AE936" s="1" t="inlineStr">
        <is>
          <t>офсетная</t>
        </is>
      </c>
      <c r="AG936" s="1" t="n">
        <v>8943740</v>
      </c>
      <c r="AI936" s="1" t="inlineStr">
        <is>
          <t>4901990000</t>
        </is>
      </c>
    </row>
    <row r="937" customFormat="1" s="1">
      <c r="C937" s="1" t="inlineStr">
        <is>
          <t xml:space="preserve">8825930             </t>
        </is>
      </c>
      <c r="D937" s="1" t="inlineStr">
        <is>
          <t>Разум и чувства</t>
        </is>
      </c>
      <c r="E937" s="1" t="inlineStr">
        <is>
          <t>Тайна леди Одли: роман. Брэддон М.Э.</t>
        </is>
      </c>
      <c r="F937" s="13" t="inlineStr">
        <is>
          <t>См.обл.</t>
        </is>
      </c>
      <c r="G937" s="1" t="inlineStr">
        <is>
          <t>Брэддон М.Э.</t>
        </is>
      </c>
      <c r="H937" s="1" t="inlineStr">
        <is>
          <t>84х108/32</t>
        </is>
      </c>
      <c r="I937" s="1" t="n">
        <v>415</v>
      </c>
      <c r="J937" s="1" t="inlineStr">
        <is>
          <t>РИПОЛ Классик</t>
        </is>
      </c>
      <c r="K937" s="1" t="inlineStr">
        <is>
          <t>Пальмира</t>
        </is>
      </c>
      <c r="M937" s="1" t="inlineStr">
        <is>
          <t>2019</t>
        </is>
      </c>
      <c r="N937" s="1" t="inlineStr">
        <is>
          <t>П</t>
        </is>
      </c>
      <c r="O937" s="9" t="n">
        <v>8</v>
      </c>
      <c r="P937" s="1">
        <f>ROUNDUP(1283.7*(1-$F$3),2)</f>
        <v/>
      </c>
      <c r="Q937" s="1" t="inlineStr">
        <is>
          <t> </t>
        </is>
      </c>
      <c r="R937" s="1" t="inlineStr">
        <is>
          <t>978-5-386-10838-0</t>
        </is>
      </c>
      <c r="S937" s="1" t="inlineStr">
        <is>
          <t>9785386108380</t>
        </is>
      </c>
      <c r="T937" s="9" t="n">
        <v>10</v>
      </c>
      <c r="U937" s="1">
        <f>ROUNDUP(1167*(1-$F$3),2)</f>
        <v/>
      </c>
      <c r="V937" s="1" t="n">
        <v>459</v>
      </c>
      <c r="Y937" s="1" t="inlineStr">
        <is>
          <t>Тайна леди Одли: роман</t>
        </is>
      </c>
      <c r="Z937" s="1" t="inlineStr">
        <is>
          <t>12+</t>
        </is>
      </c>
      <c r="AA937" s="12" t="n">
        <v>43405</v>
      </c>
      <c r="AB937" s="1" t="inlineStr">
        <is>
          <t>Художественная литература</t>
        </is>
      </c>
      <c r="AC937" s="1" t="inlineStr">
        <is>
          <t>Зарубежная литература</t>
        </is>
      </c>
      <c r="AD937" s="1" t="inlineStr">
        <is>
          <t>Литература Америки и Австралии</t>
        </is>
      </c>
      <c r="AE937" s="1" t="inlineStr">
        <is>
          <t>офсетная</t>
        </is>
      </c>
      <c r="AG937" s="1" t="n">
        <v>8825930</v>
      </c>
      <c r="AI937" s="1" t="inlineStr">
        <is>
          <t>4901990000</t>
        </is>
      </c>
    </row>
    <row r="938" customFormat="1" s="1">
      <c r="C938" s="1" t="inlineStr">
        <is>
          <t xml:space="preserve">9086280             </t>
        </is>
      </c>
      <c r="D938" s="1" t="inlineStr">
        <is>
          <t>Рипол-классик</t>
        </is>
      </c>
      <c r="E938" s="1" t="inlineStr">
        <is>
          <t>1793. История одного убийства: роман. Натт-о-Даг Н.</t>
        </is>
      </c>
      <c r="F938" s="13" t="inlineStr">
        <is>
          <t>См.обл.</t>
        </is>
      </c>
      <c r="G938" s="1" t="inlineStr">
        <is>
          <t>Натт-о-Даг Н.</t>
        </is>
      </c>
      <c r="H938" s="1" t="inlineStr">
        <is>
          <t>60х90/16</t>
        </is>
      </c>
      <c r="I938" s="1" t="n">
        <v>495</v>
      </c>
      <c r="J938" s="1" t="inlineStr">
        <is>
          <t>РИПОЛ Классик</t>
        </is>
      </c>
      <c r="K938" s="1" t="inlineStr">
        <is>
          <t>Пальмира</t>
        </is>
      </c>
      <c r="M938" s="1" t="inlineStr">
        <is>
          <t>2022</t>
        </is>
      </c>
      <c r="N938" s="1" t="inlineStr">
        <is>
          <t>О</t>
        </is>
      </c>
      <c r="O938" s="9" t="n">
        <v>4</v>
      </c>
      <c r="P938" s="1">
        <f>ROUNDUP(1090*(1-$F$3),2)</f>
        <v/>
      </c>
      <c r="Q938" s="1" t="inlineStr">
        <is>
          <t> </t>
        </is>
      </c>
      <c r="R938" s="1" t="inlineStr">
        <is>
          <t>978-5-386-12509-7</t>
        </is>
      </c>
      <c r="S938" s="1" t="inlineStr">
        <is>
          <t>9785386125097</t>
        </is>
      </c>
      <c r="T938" s="9" t="n">
        <v>10</v>
      </c>
      <c r="U938" s="1">
        <f>ROUNDUP(990.91*(1-$F$3),2)</f>
        <v/>
      </c>
      <c r="V938" s="1" t="n">
        <v>349</v>
      </c>
      <c r="Y938" s="1" t="inlineStr">
        <is>
          <t>1793. История одного убийства: роман</t>
        </is>
      </c>
      <c r="Z938" s="1" t="inlineStr">
        <is>
          <t>18+</t>
        </is>
      </c>
      <c r="AA938" s="12" t="n">
        <v>43647</v>
      </c>
      <c r="AB938" s="1" t="inlineStr">
        <is>
          <t>Художественная литература</t>
        </is>
      </c>
      <c r="AC938" s="1" t="inlineStr">
        <is>
          <t>Детективы. Боевики. Триллеры</t>
        </is>
      </c>
      <c r="AD938" s="1" t="inlineStr">
        <is>
          <t>Зарубежный детектив</t>
        </is>
      </c>
      <c r="AE938" s="1" t="inlineStr">
        <is>
          <t>офсетная</t>
        </is>
      </c>
      <c r="AG938" s="1" t="n">
        <v>9086280</v>
      </c>
      <c r="AI938" s="1" t="inlineStr">
        <is>
          <t>4901990000</t>
        </is>
      </c>
      <c r="AJ938" s="1" t="inlineStr">
        <is>
          <t>Зпв</t>
        </is>
      </c>
    </row>
    <row r="939" customFormat="1" s="1">
      <c r="C939" s="1" t="inlineStr">
        <is>
          <t xml:space="preserve">9091300             </t>
        </is>
      </c>
      <c r="D939" s="1" t="inlineStr">
        <is>
          <t>Рипол-классик</t>
        </is>
      </c>
      <c r="E939" s="1" t="inlineStr">
        <is>
          <t>Книга Дины: роман. Вассму Х.</t>
        </is>
      </c>
      <c r="F939" s="13" t="inlineStr">
        <is>
          <t>См.обл.</t>
        </is>
      </c>
      <c r="G939" s="1" t="inlineStr">
        <is>
          <t>Вассму Х.</t>
        </is>
      </c>
      <c r="H939" s="1" t="inlineStr">
        <is>
          <t>60х90/16</t>
        </is>
      </c>
      <c r="I939" s="1" t="n">
        <v>544</v>
      </c>
      <c r="J939" s="1" t="inlineStr">
        <is>
          <t>РИПОЛ Классик</t>
        </is>
      </c>
      <c r="K939" s="1" t="inlineStr">
        <is>
          <t>Пальмира</t>
        </is>
      </c>
      <c r="M939" s="1" t="inlineStr">
        <is>
          <t>2020</t>
        </is>
      </c>
      <c r="N939" s="1" t="inlineStr">
        <is>
          <t>О</t>
        </is>
      </c>
      <c r="O939" s="9" t="n">
        <v>10</v>
      </c>
      <c r="P939" s="1">
        <f>ROUNDUP(1110*(1-$F$3),2)</f>
        <v/>
      </c>
      <c r="Q939" s="1" t="inlineStr">
        <is>
          <t> </t>
        </is>
      </c>
      <c r="R939" s="1" t="inlineStr">
        <is>
          <t>978-5-386-12523-3</t>
        </is>
      </c>
      <c r="S939" s="1" t="inlineStr">
        <is>
          <t>9785386125233</t>
        </is>
      </c>
      <c r="T939" s="9" t="n">
        <v>10</v>
      </c>
      <c r="U939" s="1">
        <f>ROUNDUP(1009.09*(1-$F$3),2)</f>
        <v/>
      </c>
      <c r="V939" s="1" t="n">
        <v>583</v>
      </c>
      <c r="Y939" s="1" t="inlineStr">
        <is>
          <t>Книга Дины: роман</t>
        </is>
      </c>
      <c r="Z939" s="1" t="inlineStr">
        <is>
          <t>16+</t>
        </is>
      </c>
      <c r="AA939" s="12" t="n">
        <v>43645</v>
      </c>
      <c r="AB939" s="1" t="inlineStr">
        <is>
          <t>Художественная литература</t>
        </is>
      </c>
      <c r="AC939" s="1" t="inlineStr">
        <is>
          <t>Зарубежная литература</t>
        </is>
      </c>
      <c r="AD939" s="1" t="inlineStr">
        <is>
          <t>Европейская литература</t>
        </is>
      </c>
      <c r="AE939" s="1" t="inlineStr">
        <is>
          <t>газетная</t>
        </is>
      </c>
      <c r="AG939" s="1" t="n">
        <v>9091300</v>
      </c>
      <c r="AI939" s="1" t="inlineStr">
        <is>
          <t>4901990000</t>
        </is>
      </c>
    </row>
    <row r="940" customFormat="1" s="1">
      <c r="C940" s="1" t="inlineStr">
        <is>
          <t>316775</t>
        </is>
      </c>
      <c r="D940" s="1" t="inlineStr">
        <is>
          <t>Родители-дебютанты</t>
        </is>
      </c>
      <c r="E940" s="1" t="inlineStr">
        <is>
          <t>Родители-дебютанты. Поиграй со мной!. Хет С.</t>
        </is>
      </c>
      <c r="F940" s="13" t="inlineStr">
        <is>
          <t>См.обл.</t>
        </is>
      </c>
      <c r="G940" s="1" t="inlineStr">
        <is>
          <t>Хет С.</t>
        </is>
      </c>
      <c r="H940" s="1" t="inlineStr">
        <is>
          <t>60х90/16</t>
        </is>
      </c>
      <c r="I940" s="1" t="n">
        <v>256</v>
      </c>
      <c r="J940" s="1" t="inlineStr">
        <is>
          <t>РИПОЛ Классик</t>
        </is>
      </c>
      <c r="M940" s="1" t="inlineStr">
        <is>
          <t>2015</t>
        </is>
      </c>
      <c r="N940" s="1" t="inlineStr">
        <is>
          <t>П</t>
        </is>
      </c>
      <c r="O940" s="9" t="n">
        <v>12</v>
      </c>
      <c r="P940" s="1">
        <f>ROUNDUP(873.5*(1-$F$3),2)</f>
        <v/>
      </c>
      <c r="Q940" s="1" t="inlineStr">
        <is>
          <t> </t>
        </is>
      </c>
      <c r="R940" s="1" t="inlineStr">
        <is>
          <t>978-5-386-08056-3</t>
        </is>
      </c>
      <c r="S940" s="1" t="inlineStr">
        <is>
          <t>9785386080563</t>
        </is>
      </c>
      <c r="T940" s="9" t="n">
        <v>10</v>
      </c>
      <c r="U940" s="1">
        <f>ROUNDUP(794.09*(1-$F$3),2)</f>
        <v/>
      </c>
      <c r="V940" s="1" t="n">
        <v>441</v>
      </c>
      <c r="W940" s="1" t="inlineStr">
        <is>
          <t xml:space="preserve">427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940" s="1" t="inlineStr">
        <is>
          <t xml:space="preserve">Организация досуга и отдыха                                                                                                     </t>
        </is>
      </c>
      <c r="Y940" s="1" t="inlineStr">
        <is>
          <t>Родители-дебютанты. Поиграй со мной!</t>
        </is>
      </c>
      <c r="AA940" s="12" t="n">
        <v>42024</v>
      </c>
      <c r="AB940" s="1" t="inlineStr">
        <is>
          <t>Детская литература</t>
        </is>
      </c>
      <c r="AC940" s="1" t="inlineStr">
        <is>
          <t>Книги для родителей</t>
        </is>
      </c>
      <c r="AD940" s="1" t="inlineStr">
        <is>
          <t>Психология для родителей. Семейное воспитание</t>
        </is>
      </c>
      <c r="AE940" s="1" t="inlineStr">
        <is>
          <t> </t>
        </is>
      </c>
      <c r="AG940" s="1" t="n">
        <v>6653250</v>
      </c>
      <c r="AI940" s="1" t="inlineStr">
        <is>
          <t>4901990000</t>
        </is>
      </c>
    </row>
    <row r="941" customFormat="1" s="1">
      <c r="C941" s="1" t="inlineStr">
        <is>
          <t xml:space="preserve">9243670             </t>
        </is>
      </c>
      <c r="D941" s="1" t="inlineStr">
        <is>
          <t>Рождественская история</t>
        </is>
      </c>
      <c r="E941" s="1" t="inlineStr">
        <is>
          <t>Рождественский ужин духов. Монтгомери Р.</t>
        </is>
      </c>
      <c r="F941" s="13" t="inlineStr">
        <is>
          <t>См.обл.</t>
        </is>
      </c>
      <c r="G941" s="1" t="inlineStr">
        <is>
          <t>Монтгомери Р.</t>
        </is>
      </c>
      <c r="H941" s="1" t="inlineStr">
        <is>
          <t>80х100/32</t>
        </is>
      </c>
      <c r="I941" s="1" t="n">
        <v>208</v>
      </c>
      <c r="J941" s="1" t="inlineStr">
        <is>
          <t>РИПОЛ Классик</t>
        </is>
      </c>
      <c r="M941" s="1" t="inlineStr">
        <is>
          <t>2020</t>
        </is>
      </c>
      <c r="N941" s="1" t="inlineStr">
        <is>
          <t>П</t>
        </is>
      </c>
      <c r="O941" s="9" t="n">
        <v>14</v>
      </c>
      <c r="P941" s="1">
        <f>ROUNDUP(930*(1-$F$3),2)</f>
        <v/>
      </c>
      <c r="Q941" s="1" t="inlineStr">
        <is>
          <t> </t>
        </is>
      </c>
      <c r="R941" s="1" t="inlineStr">
        <is>
          <t>978-5-386-13548-5</t>
        </is>
      </c>
      <c r="S941" s="1" t="inlineStr">
        <is>
          <t>9785386135485</t>
        </is>
      </c>
      <c r="T941" s="9" t="n">
        <v>10</v>
      </c>
      <c r="U941" s="1">
        <f>ROUNDUP(845.45*(1-$F$3),2)</f>
        <v/>
      </c>
      <c r="V941" s="1" t="n">
        <v>289</v>
      </c>
      <c r="Y941" s="1" t="inlineStr">
        <is>
          <t>Рождественский ужин духов</t>
        </is>
      </c>
      <c r="Z941" s="1" t="inlineStr">
        <is>
          <t>12+</t>
        </is>
      </c>
      <c r="AA941" s="12" t="n">
        <v>43803</v>
      </c>
      <c r="AB941" s="1" t="inlineStr">
        <is>
          <t>Детская литература</t>
        </is>
      </c>
      <c r="AC941" s="1" t="inlineStr">
        <is>
          <t>Художественная литература</t>
        </is>
      </c>
      <c r="AD941" s="1" t="inlineStr">
        <is>
          <t>Литературная сказка</t>
        </is>
      </c>
      <c r="AE941" s="1" t="inlineStr">
        <is>
          <t>офсетная</t>
        </is>
      </c>
      <c r="AG941" s="1" t="n">
        <v>9243670</v>
      </c>
      <c r="AI941" s="1" t="inlineStr">
        <is>
          <t>4901990000</t>
        </is>
      </c>
    </row>
    <row r="942" customFormat="1" s="1">
      <c r="C942" s="1" t="inlineStr">
        <is>
          <t xml:space="preserve">9557170             </t>
        </is>
      </c>
      <c r="D942" s="1" t="inlineStr">
        <is>
          <t>Рождество приходит к нам</t>
        </is>
      </c>
      <c r="E942" s="1" t="inlineStr">
        <is>
          <t xml:space="preserve">Рождественская книга стихов. </t>
        </is>
      </c>
      <c r="F942" s="13" t="inlineStr">
        <is>
          <t>См.обл.</t>
        </is>
      </c>
      <c r="H942" s="1" t="inlineStr">
        <is>
          <t>84х108/32</t>
        </is>
      </c>
      <c r="I942" s="1" t="n">
        <v>272</v>
      </c>
      <c r="J942" s="1" t="inlineStr">
        <is>
          <t>РИПОЛ Классик</t>
        </is>
      </c>
      <c r="M942" s="1" t="inlineStr">
        <is>
          <t>2025</t>
        </is>
      </c>
      <c r="N942" s="1" t="inlineStr">
        <is>
          <t>П</t>
        </is>
      </c>
      <c r="O942" s="9" t="n">
        <v>7</v>
      </c>
      <c r="P942" s="1">
        <f>ROUNDUP(956.8*(1-$F$3),2)</f>
        <v/>
      </c>
      <c r="Q942" s="1" t="inlineStr">
        <is>
          <t> </t>
        </is>
      </c>
      <c r="R942" s="1" t="inlineStr">
        <is>
          <t>978-5-386-13887-5</t>
        </is>
      </c>
      <c r="S942" s="1" t="inlineStr">
        <is>
          <t>9785386138875</t>
        </is>
      </c>
      <c r="T942" s="9" t="n">
        <v>10</v>
      </c>
      <c r="U942" s="1">
        <f>ROUNDUP(869.82*(1-$F$3),2)</f>
        <v/>
      </c>
      <c r="V942" s="1" t="n">
        <v>341</v>
      </c>
      <c r="Y942" s="1" t="inlineStr">
        <is>
          <t>Рождественская книга стихов</t>
        </is>
      </c>
      <c r="Z942" s="1" t="inlineStr">
        <is>
          <t>6 +</t>
        </is>
      </c>
      <c r="AA942" s="12" t="n">
        <v>44137</v>
      </c>
      <c r="AB942" s="1" t="inlineStr">
        <is>
          <t>Детская литература</t>
        </is>
      </c>
      <c r="AC942" s="1" t="inlineStr">
        <is>
          <t>Художественная литература</t>
        </is>
      </c>
      <c r="AD942" s="1" t="inlineStr">
        <is>
          <t>Поэзия</t>
        </is>
      </c>
      <c r="AE942" s="1" t="inlineStr">
        <is>
          <t>офсетная</t>
        </is>
      </c>
      <c r="AG942" s="1" t="n">
        <v>9557170</v>
      </c>
      <c r="AI942" s="1" t="inlineStr">
        <is>
          <t>4901990000</t>
        </is>
      </c>
    </row>
    <row r="943" customFormat="1" s="1">
      <c r="C943" s="1" t="inlineStr">
        <is>
          <t xml:space="preserve">9378320             </t>
        </is>
      </c>
      <c r="D943" s="1" t="inlineStr">
        <is>
          <t>Роковая Фемида. Романы Александра Звягинцева</t>
        </is>
      </c>
      <c r="E943" s="1" t="inlineStr">
        <is>
          <t>Суд народов. Звягинцев А.Г.</t>
        </is>
      </c>
      <c r="F943" s="13" t="inlineStr">
        <is>
          <t>См.обл.</t>
        </is>
      </c>
      <c r="G943" s="1" t="inlineStr">
        <is>
          <t>Звягинцев А.Г.</t>
        </is>
      </c>
      <c r="H943" s="1" t="inlineStr">
        <is>
          <t>60х90/8</t>
        </is>
      </c>
      <c r="I943" s="1" t="n">
        <v>1096</v>
      </c>
      <c r="J943" s="1" t="inlineStr">
        <is>
          <t>РИПОЛ Классик</t>
        </is>
      </c>
      <c r="M943" s="1" t="inlineStr">
        <is>
          <t>2020</t>
        </is>
      </c>
      <c r="N943" s="1" t="inlineStr">
        <is>
          <t>П</t>
        </is>
      </c>
      <c r="O943" s="9" t="n">
        <v>2</v>
      </c>
      <c r="P943" s="1">
        <f>ROUNDUP(4460*(1-$F$3),2)</f>
        <v/>
      </c>
      <c r="Q943" s="1" t="inlineStr">
        <is>
          <t> </t>
        </is>
      </c>
      <c r="R943" s="1" t="inlineStr">
        <is>
          <t>978-5-386-13675-8</t>
        </is>
      </c>
      <c r="S943" s="1" t="inlineStr">
        <is>
          <t>9785386136758</t>
        </is>
      </c>
      <c r="T943" s="9" t="n">
        <v>10</v>
      </c>
      <c r="U943" s="1">
        <f>ROUNDUP(4054.55*(1-$F$3),2)</f>
        <v/>
      </c>
      <c r="V943" s="1" t="n">
        <v>2947</v>
      </c>
      <c r="Y943" s="1" t="inlineStr">
        <is>
          <t>Суд народов</t>
        </is>
      </c>
      <c r="Z943" s="1" t="inlineStr">
        <is>
          <t>16+</t>
        </is>
      </c>
      <c r="AA943" s="12" t="n">
        <v>43946</v>
      </c>
      <c r="AB943" s="1" t="inlineStr">
        <is>
          <t>Право. Юридические науки</t>
        </is>
      </c>
      <c r="AC943" s="1" t="inlineStr">
        <is>
          <t>Международное право</t>
        </is>
      </c>
      <c r="AD943" s="1" t="inlineStr">
        <is>
          <t>Международное публичное право</t>
        </is>
      </c>
      <c r="AE943" s="1" t="inlineStr">
        <is>
          <t>офсетная</t>
        </is>
      </c>
      <c r="AG943" s="1" t="n">
        <v>9378320</v>
      </c>
      <c r="AI943" s="1" t="inlineStr">
        <is>
          <t>4901990000</t>
        </is>
      </c>
    </row>
    <row r="944" customFormat="1" s="1">
      <c r="C944" s="1" t="inlineStr">
        <is>
          <t xml:space="preserve">9561480             </t>
        </is>
      </c>
      <c r="D944" s="1" t="inlineStr">
        <is>
          <t>Романы Александра Звягинцева</t>
        </is>
      </c>
      <c r="E944" s="1" t="inlineStr">
        <is>
          <t>Вернуться, чтобы уйти. Рассказы и повести. Звягинцев А.Г.</t>
        </is>
      </c>
      <c r="F944" s="13" t="inlineStr">
        <is>
          <t>См.обл.</t>
        </is>
      </c>
      <c r="G944" s="1" t="inlineStr">
        <is>
          <t>Звягинцев А.Г.</t>
        </is>
      </c>
      <c r="H944" s="1" t="inlineStr">
        <is>
          <t>60х90/16</t>
        </is>
      </c>
      <c r="I944" s="1" t="n">
        <v>222</v>
      </c>
      <c r="J944" s="1" t="inlineStr">
        <is>
          <t>РИПОЛ Классик</t>
        </is>
      </c>
      <c r="M944" s="1" t="inlineStr">
        <is>
          <t>2024</t>
        </is>
      </c>
      <c r="N944" s="1" t="inlineStr">
        <is>
          <t>О</t>
        </is>
      </c>
      <c r="O944" s="9" t="n">
        <v>24</v>
      </c>
      <c r="P944" s="1">
        <f>ROUNDUP(930*(1-$F$3),2)</f>
        <v/>
      </c>
      <c r="Q944" s="1" t="inlineStr">
        <is>
          <t> </t>
        </is>
      </c>
      <c r="R944" s="1" t="inlineStr">
        <is>
          <t>978-5-386-13838-7</t>
        </is>
      </c>
      <c r="S944" s="1" t="inlineStr">
        <is>
          <t>9785386138387</t>
        </is>
      </c>
      <c r="T944" s="9" t="n">
        <v>10</v>
      </c>
      <c r="U944" s="1">
        <f>ROUNDUP(845.45*(1-$F$3),2)</f>
        <v/>
      </c>
      <c r="V944" s="1" t="n">
        <v>239</v>
      </c>
      <c r="Y944" s="1" t="inlineStr">
        <is>
          <t>Вернуться, чтобы уйти. Рассказы и повести</t>
        </is>
      </c>
      <c r="Z944" s="1" t="inlineStr">
        <is>
          <t>16+</t>
        </is>
      </c>
      <c r="AA944" s="12" t="n">
        <v>44144</v>
      </c>
      <c r="AB944" s="1" t="inlineStr">
        <is>
          <t>Художественная литература</t>
        </is>
      </c>
      <c r="AC944" s="1" t="inlineStr">
        <is>
          <t>Русская литература</t>
        </is>
      </c>
      <c r="AD944" s="1" t="inlineStr">
        <is>
          <t>Современная литература</t>
        </is>
      </c>
      <c r="AE944" s="1" t="inlineStr">
        <is>
          <t>офсетная</t>
        </is>
      </c>
      <c r="AG944" s="1" t="n">
        <v>9561480</v>
      </c>
      <c r="AI944" s="1" t="inlineStr">
        <is>
          <t>4901990000</t>
        </is>
      </c>
    </row>
    <row r="945" customFormat="1" s="1">
      <c r="C945" s="1" t="inlineStr">
        <is>
          <t xml:space="preserve">8952870             </t>
        </is>
      </c>
      <c r="D945" s="1" t="inlineStr">
        <is>
          <t>Романы Александра Звягинцева</t>
        </is>
      </c>
      <c r="E945" s="1" t="inlineStr">
        <is>
          <t>Естественный отбор. Звягинцев А.Г.</t>
        </is>
      </c>
      <c r="F945" s="13" t="inlineStr">
        <is>
          <t>См.обл.</t>
        </is>
      </c>
      <c r="G945" s="1" t="inlineStr">
        <is>
          <t>Звягинцев А.Г.</t>
        </is>
      </c>
      <c r="H945" s="1" t="inlineStr">
        <is>
          <t>60х90/16</t>
        </is>
      </c>
      <c r="I945" s="1" t="n">
        <v>682</v>
      </c>
      <c r="J945" s="1" t="inlineStr">
        <is>
          <t>РИПОЛ Классик</t>
        </is>
      </c>
      <c r="M945" s="1" t="inlineStr">
        <is>
          <t>2019</t>
        </is>
      </c>
      <c r="N945" s="1" t="inlineStr">
        <is>
          <t>П</t>
        </is>
      </c>
      <c r="O945" s="9" t="n">
        <v>6</v>
      </c>
      <c r="P945" s="1">
        <f>ROUNDUP(1472.8*(1-$F$3),2)</f>
        <v/>
      </c>
      <c r="Q945" s="1" t="inlineStr">
        <is>
          <t> </t>
        </is>
      </c>
      <c r="R945" s="1" t="inlineStr">
        <is>
          <t>978-5-386-12473-1</t>
        </is>
      </c>
      <c r="S945" s="1" t="inlineStr">
        <is>
          <t>9785386124731</t>
        </is>
      </c>
      <c r="T945" s="9" t="n">
        <v>10</v>
      </c>
      <c r="U945" s="1">
        <f>ROUNDUP(1338.91*(1-$F$3),2)</f>
        <v/>
      </c>
      <c r="V945" s="1" t="n">
        <v>836</v>
      </c>
      <c r="Y945" s="1" t="inlineStr">
        <is>
          <t>Естественный отбор</t>
        </is>
      </c>
      <c r="Z945" s="1" t="inlineStr">
        <is>
          <t>16+</t>
        </is>
      </c>
      <c r="AA945" s="12" t="n">
        <v>43528</v>
      </c>
      <c r="AB945" s="1" t="inlineStr">
        <is>
          <t>Художественная литература</t>
        </is>
      </c>
      <c r="AC945" s="1" t="inlineStr">
        <is>
          <t>Русская литература</t>
        </is>
      </c>
      <c r="AD945" s="1" t="inlineStr">
        <is>
          <t>Современная литература</t>
        </is>
      </c>
      <c r="AE945" s="1" t="inlineStr">
        <is>
          <t>офсетная</t>
        </is>
      </c>
      <c r="AG945" s="1" t="n">
        <v>8952870</v>
      </c>
      <c r="AI945" s="1" t="inlineStr">
        <is>
          <t>4901990000</t>
        </is>
      </c>
    </row>
    <row r="946" customFormat="1" s="1">
      <c r="C946" s="1" t="inlineStr">
        <is>
          <t xml:space="preserve">9698820             </t>
        </is>
      </c>
      <c r="D946" s="1" t="inlineStr">
        <is>
          <t>Романы Александра Звягинцева</t>
        </is>
      </c>
      <c r="E946" s="1" t="inlineStr">
        <is>
          <t>Пиво для Сталина. Очерки, беседы, размышления. Звягинцев А.Г.</t>
        </is>
      </c>
      <c r="F946" s="13" t="inlineStr">
        <is>
          <t>См.обл.</t>
        </is>
      </c>
      <c r="G946" s="1" t="inlineStr">
        <is>
          <t>Звягинцев А.Г.</t>
        </is>
      </c>
      <c r="H946" s="1" t="inlineStr">
        <is>
          <t>60х90/16</t>
        </is>
      </c>
      <c r="I946" s="1" t="n">
        <v>318</v>
      </c>
      <c r="J946" s="1" t="inlineStr">
        <is>
          <t>РИПОЛ Классик</t>
        </is>
      </c>
      <c r="M946" s="1" t="inlineStr">
        <is>
          <t>2027</t>
        </is>
      </c>
      <c r="N946" s="1" t="inlineStr">
        <is>
          <t>О</t>
        </is>
      </c>
      <c r="O946" s="9" t="n">
        <v>12</v>
      </c>
      <c r="P946" s="1">
        <f>ROUNDUP(1015.6*(1-$F$3),2)</f>
        <v/>
      </c>
      <c r="Q946" s="1" t="inlineStr">
        <is>
          <t> </t>
        </is>
      </c>
      <c r="R946" s="1" t="inlineStr">
        <is>
          <t>978-5-386-14094-6</t>
        </is>
      </c>
      <c r="S946" s="1" t="inlineStr">
        <is>
          <t>9785386140946</t>
        </is>
      </c>
      <c r="T946" s="9" t="n">
        <v>10</v>
      </c>
      <c r="U946" s="1">
        <f>ROUNDUP(923.27*(1-$F$3),2)</f>
        <v/>
      </c>
      <c r="V946" s="1" t="n">
        <v>308</v>
      </c>
      <c r="Y946" s="1" t="inlineStr">
        <is>
          <t>Пиво для Сталина. Очерки, беседы, размышления</t>
        </is>
      </c>
      <c r="Z946" s="1" t="inlineStr">
        <is>
          <t>16+</t>
        </is>
      </c>
      <c r="AA946" s="12" t="n">
        <v>44330</v>
      </c>
      <c r="AB946" s="1" t="inlineStr">
        <is>
          <t>Художественно-документальная проза</t>
        </is>
      </c>
      <c r="AC946" s="1" t="inlineStr">
        <is>
          <t>Публицистика</t>
        </is>
      </c>
      <c r="AD946" s="1" t="inlineStr">
        <is>
          <t>Общественно-политическая публицистика</t>
        </is>
      </c>
      <c r="AE946" s="1" t="inlineStr">
        <is>
          <t>офсетная</t>
        </is>
      </c>
      <c r="AG946" s="1" t="n">
        <v>9698820</v>
      </c>
      <c r="AI946" s="1" t="inlineStr">
        <is>
          <t>4901990000</t>
        </is>
      </c>
    </row>
    <row r="947" customFormat="1" s="1">
      <c r="C947" s="1" t="inlineStr">
        <is>
          <t xml:space="preserve">10455700            </t>
        </is>
      </c>
      <c r="D947" s="1" t="inlineStr">
        <is>
          <t>Романы Александра Звягинцева</t>
        </is>
      </c>
      <c r="E947" s="1" t="inlineStr">
        <is>
          <t>Сармат. Группа первая, RH(+). Звягинцев А.Г.</t>
        </is>
      </c>
      <c r="F947" s="13" t="inlineStr">
        <is>
          <t>См.обл.</t>
        </is>
      </c>
      <c r="G947" s="1" t="inlineStr">
        <is>
          <t>Звягинцев А.Г.</t>
        </is>
      </c>
      <c r="H947" s="1" t="inlineStr">
        <is>
          <t>60х90/16</t>
        </is>
      </c>
      <c r="I947" s="1" t="n">
        <v>150</v>
      </c>
      <c r="J947" s="1" t="inlineStr">
        <is>
          <t>РИПОЛ Классик</t>
        </is>
      </c>
      <c r="M947" s="1" t="inlineStr">
        <is>
          <t>2022</t>
        </is>
      </c>
      <c r="N947" s="1" t="inlineStr">
        <is>
          <t>О</t>
        </is>
      </c>
      <c r="O947" s="9" t="n">
        <v>32</v>
      </c>
      <c r="P947" s="1">
        <f>ROUNDUP(1010*(1-$F$3),2)</f>
        <v/>
      </c>
      <c r="Q947" s="1" t="inlineStr">
        <is>
          <t> </t>
        </is>
      </c>
      <c r="R947" s="1" t="inlineStr">
        <is>
          <t>978-5-386-14726-6</t>
        </is>
      </c>
      <c r="S947" s="1" t="inlineStr">
        <is>
          <t>9785386147266</t>
        </is>
      </c>
      <c r="T947" s="9" t="n">
        <v>10</v>
      </c>
      <c r="U947" s="1">
        <f>ROUNDUP(918.18*(1-$F$3),2)</f>
        <v/>
      </c>
      <c r="V947" s="1" t="n">
        <v>198</v>
      </c>
      <c r="Y947" s="1" t="inlineStr">
        <is>
          <t>Сармат. Группа первая, RH(+)</t>
        </is>
      </c>
      <c r="Z947" s="1" t="inlineStr">
        <is>
          <t>16+</t>
        </is>
      </c>
      <c r="AA947" s="12" t="n">
        <v>44686</v>
      </c>
      <c r="AB947" s="1" t="inlineStr">
        <is>
          <t>Художественная литература</t>
        </is>
      </c>
      <c r="AC947" s="1" t="inlineStr">
        <is>
          <t>Детективы. Боевики. Триллеры</t>
        </is>
      </c>
      <c r="AD947" s="1" t="inlineStr">
        <is>
          <t>Боевики</t>
        </is>
      </c>
      <c r="AE947" s="1" t="inlineStr">
        <is>
          <t>офсетная</t>
        </is>
      </c>
      <c r="AG947" s="1" t="n">
        <v>10455700</v>
      </c>
      <c r="AI947" s="1" t="inlineStr">
        <is>
          <t>4901990000</t>
        </is>
      </c>
    </row>
    <row r="948" customFormat="1" s="1">
      <c r="C948" s="1" t="inlineStr">
        <is>
          <t xml:space="preserve">10416050            </t>
        </is>
      </c>
      <c r="D948" s="1" t="inlineStr">
        <is>
          <t>Романы Александра Звягинцева (новое оформление)</t>
        </is>
      </c>
      <c r="E948" s="1" t="inlineStr">
        <is>
          <t>Операция "Империал". Звягинцев А.Г.</t>
        </is>
      </c>
      <c r="F948" s="13" t="inlineStr">
        <is>
          <t>См.обл.</t>
        </is>
      </c>
      <c r="G948" s="1" t="inlineStr">
        <is>
          <t>Звягинцев А.Г.</t>
        </is>
      </c>
      <c r="H948" s="1" t="inlineStr">
        <is>
          <t>60х90/16</t>
        </is>
      </c>
      <c r="I948" s="1" t="n">
        <v>246</v>
      </c>
      <c r="J948" s="1" t="inlineStr">
        <is>
          <t>РИПОЛ Классик</t>
        </is>
      </c>
      <c r="M948" s="1" t="inlineStr">
        <is>
          <t>2027</t>
        </is>
      </c>
      <c r="N948" s="1" t="inlineStr">
        <is>
          <t>О</t>
        </is>
      </c>
      <c r="O948" s="9" t="n">
        <v>20</v>
      </c>
      <c r="P948" s="1">
        <f>ROUNDUP(1010*(1-$F$3),2)</f>
        <v/>
      </c>
      <c r="Q948" s="1" t="inlineStr">
        <is>
          <t> </t>
        </is>
      </c>
      <c r="R948" s="1" t="inlineStr">
        <is>
          <t>978-5-386-14697-9</t>
        </is>
      </c>
      <c r="S948" s="1" t="inlineStr">
        <is>
          <t>9785386146979</t>
        </is>
      </c>
      <c r="T948" s="9" t="n">
        <v>10</v>
      </c>
      <c r="U948" s="1">
        <f>ROUNDUP(918.18*(1-$F$3),2)</f>
        <v/>
      </c>
      <c r="V948" s="1" t="n">
        <v>315</v>
      </c>
      <c r="Y948" s="1" t="inlineStr">
        <is>
          <t>Операция "Империал"</t>
        </is>
      </c>
      <c r="Z948" s="1" t="inlineStr">
        <is>
          <t>16+</t>
        </is>
      </c>
      <c r="AA948" s="12" t="n">
        <v>44670</v>
      </c>
      <c r="AB948" s="1" t="inlineStr">
        <is>
          <t>Художественная литература</t>
        </is>
      </c>
      <c r="AC948" s="1" t="inlineStr">
        <is>
          <t>Историческая проза</t>
        </is>
      </c>
      <c r="AD948" s="1" t="inlineStr">
        <is>
          <t>Русская историческая проза</t>
        </is>
      </c>
      <c r="AE948" s="1" t="inlineStr">
        <is>
          <t>офсетная</t>
        </is>
      </c>
      <c r="AG948" s="1" t="n">
        <v>10416050</v>
      </c>
      <c r="AI948" s="1" t="inlineStr">
        <is>
          <t>4901990000</t>
        </is>
      </c>
      <c r="AJ948" s="1" t="inlineStr">
        <is>
          <t>Зпв</t>
        </is>
      </c>
    </row>
    <row r="949" customFormat="1" s="1">
      <c r="C949" s="1" t="inlineStr">
        <is>
          <t xml:space="preserve">10409620            </t>
        </is>
      </c>
      <c r="D949" s="1" t="inlineStr">
        <is>
          <t>Романы Александра Звягинцева (новое оформление)</t>
        </is>
      </c>
      <c r="E949" s="1" t="inlineStr">
        <is>
          <t>Память осени. Звягинцев А.Г.</t>
        </is>
      </c>
      <c r="F949" s="13" t="inlineStr">
        <is>
          <t>См.обл.</t>
        </is>
      </c>
      <c r="G949" s="1" t="inlineStr">
        <is>
          <t>Звягинцев А.Г.</t>
        </is>
      </c>
      <c r="H949" s="1" t="inlineStr">
        <is>
          <t>60х90/16</t>
        </is>
      </c>
      <c r="I949" s="1" t="n">
        <v>224</v>
      </c>
      <c r="J949" s="1" t="inlineStr">
        <is>
          <t>РИПОЛ Классик</t>
        </is>
      </c>
      <c r="M949" s="1" t="inlineStr">
        <is>
          <t>2022</t>
        </is>
      </c>
      <c r="N949" s="1" t="inlineStr">
        <is>
          <t>О</t>
        </is>
      </c>
      <c r="O949" s="9" t="n">
        <v>22</v>
      </c>
      <c r="P949" s="1">
        <f>ROUNDUP(920*(1-$F$3),2)</f>
        <v/>
      </c>
      <c r="Q949" s="1" t="inlineStr">
        <is>
          <t> </t>
        </is>
      </c>
      <c r="R949" s="1" t="inlineStr">
        <is>
          <t>978-5-386-14698-6</t>
        </is>
      </c>
      <c r="S949" s="1" t="inlineStr">
        <is>
          <t>9785386146986</t>
        </is>
      </c>
      <c r="T949" s="9" t="n">
        <v>10</v>
      </c>
      <c r="U949" s="1">
        <f>ROUNDUP(836.36*(1-$F$3),2)</f>
        <v/>
      </c>
      <c r="V949" s="1" t="n">
        <v>284</v>
      </c>
      <c r="Y949" s="1" t="inlineStr">
        <is>
          <t>Память осени</t>
        </is>
      </c>
      <c r="Z949" s="1" t="inlineStr">
        <is>
          <t>16+</t>
        </is>
      </c>
      <c r="AA949" s="12" t="n">
        <v>44669</v>
      </c>
      <c r="AB949" s="1" t="inlineStr">
        <is>
          <t>Художественная литература</t>
        </is>
      </c>
      <c r="AC949" s="1" t="inlineStr">
        <is>
          <t>Русская литература</t>
        </is>
      </c>
      <c r="AD949" s="1" t="inlineStr">
        <is>
          <t>Современная литература</t>
        </is>
      </c>
      <c r="AE949" s="1" t="inlineStr">
        <is>
          <t>офсетная</t>
        </is>
      </c>
      <c r="AG949" s="1" t="n">
        <v>10409620</v>
      </c>
      <c r="AI949" s="1" t="inlineStr">
        <is>
          <t>4901990000</t>
        </is>
      </c>
    </row>
    <row r="950" customFormat="1" s="1">
      <c r="C950" s="1" t="inlineStr">
        <is>
          <t xml:space="preserve">8441870             </t>
        </is>
      </c>
      <c r="D950" s="1" t="inlineStr">
        <is>
          <t>Романы Виктора Доценко</t>
        </is>
      </c>
      <c r="E950" s="1" t="inlineStr">
        <is>
          <t>Золото Бешеного. Доценко В.</t>
        </is>
      </c>
      <c r="F950" s="13" t="inlineStr">
        <is>
          <t>См.обл.</t>
        </is>
      </c>
      <c r="G950" s="1" t="inlineStr">
        <is>
          <t>Доценко В.</t>
        </is>
      </c>
      <c r="H950" s="1" t="inlineStr">
        <is>
          <t>84х108/32</t>
        </is>
      </c>
      <c r="I950" s="1" t="n">
        <v>442</v>
      </c>
      <c r="J950" s="1" t="inlineStr">
        <is>
          <t>РИПОЛ Классик</t>
        </is>
      </c>
      <c r="M950" s="1" t="inlineStr">
        <is>
          <t>2018</t>
        </is>
      </c>
      <c r="N950" s="1" t="inlineStr">
        <is>
          <t>П</t>
        </is>
      </c>
      <c r="O950" s="9" t="n">
        <v>10</v>
      </c>
      <c r="P950" s="1">
        <f>ROUNDUP(1251.6*(1-$F$3),2)</f>
        <v/>
      </c>
      <c r="Q950" s="1" t="inlineStr">
        <is>
          <t> </t>
        </is>
      </c>
      <c r="R950" s="1" t="inlineStr">
        <is>
          <t>978-5-386-10484-9</t>
        </is>
      </c>
      <c r="S950" s="1" t="inlineStr">
        <is>
          <t>9785386104849</t>
        </is>
      </c>
      <c r="T950" s="9" t="n">
        <v>10</v>
      </c>
      <c r="U950" s="1">
        <f>ROUNDUP(1137.82*(1-$F$3),2)</f>
        <v/>
      </c>
      <c r="V950" s="1" t="n">
        <v>489</v>
      </c>
      <c r="Y950" s="1" t="inlineStr">
        <is>
          <t>Золото Бешеного</t>
        </is>
      </c>
      <c r="Z950" s="1" t="inlineStr">
        <is>
          <t>18+</t>
        </is>
      </c>
      <c r="AA950" s="12" t="n">
        <v>43110</v>
      </c>
      <c r="AB950" s="1" t="inlineStr">
        <is>
          <t>Художественная литература</t>
        </is>
      </c>
      <c r="AC950" s="1" t="inlineStr">
        <is>
          <t>Детективы. Боевики. Триллеры</t>
        </is>
      </c>
      <c r="AD950" s="1" t="inlineStr">
        <is>
          <t>Русский детектив</t>
        </is>
      </c>
      <c r="AE950" s="1" t="inlineStr">
        <is>
          <t>офсетная</t>
        </is>
      </c>
      <c r="AG950" s="1" t="n">
        <v>8441870</v>
      </c>
      <c r="AI950" s="1" t="inlineStr">
        <is>
          <t>4901990000</t>
        </is>
      </c>
      <c r="AJ950" s="1" t="inlineStr">
        <is>
          <t>Зпв</t>
        </is>
      </c>
    </row>
    <row r="951" customFormat="1" s="1">
      <c r="C951" s="1" t="inlineStr">
        <is>
          <t xml:space="preserve">8445120             </t>
        </is>
      </c>
      <c r="D951" s="1" t="inlineStr">
        <is>
          <t>Российский детективный клуб</t>
        </is>
      </c>
      <c r="E951" s="1" t="inlineStr">
        <is>
          <t>Правда и Небыль: роман. Грунюшкин Д., Михайлов Х.</t>
        </is>
      </c>
      <c r="F951" s="13" t="inlineStr">
        <is>
          <t>См.обл.</t>
        </is>
      </c>
      <c r="G951" s="1" t="inlineStr">
        <is>
          <t>Грунюшкин Д., Михайлов Х.</t>
        </is>
      </c>
      <c r="H951" s="1" t="inlineStr">
        <is>
          <t>84х108/32</t>
        </is>
      </c>
      <c r="I951" s="1" t="n">
        <v>560</v>
      </c>
      <c r="J951" s="1" t="inlineStr">
        <is>
          <t>РИПОЛ Классик</t>
        </is>
      </c>
      <c r="M951" s="1" t="inlineStr">
        <is>
          <t>2018</t>
        </is>
      </c>
      <c r="N951" s="1" t="inlineStr">
        <is>
          <t>П</t>
        </is>
      </c>
      <c r="O951" s="9" t="n">
        <v>10</v>
      </c>
      <c r="P951" s="1">
        <f>ROUNDUP(1144.4*(1-$F$3),2)</f>
        <v/>
      </c>
      <c r="Q951" s="1" t="inlineStr">
        <is>
          <t> </t>
        </is>
      </c>
      <c r="R951" s="1" t="inlineStr">
        <is>
          <t>978-5-386-10504-4</t>
        </is>
      </c>
      <c r="S951" s="1" t="inlineStr">
        <is>
          <t>9785386105044</t>
        </is>
      </c>
      <c r="T951" s="9" t="n">
        <v>10</v>
      </c>
      <c r="U951" s="1">
        <f>ROUNDUP(1040.36*(1-$F$3),2)</f>
        <v/>
      </c>
      <c r="V951" s="1" t="n">
        <v>612</v>
      </c>
      <c r="Y951" s="1" t="inlineStr">
        <is>
          <t>Правда и Небыль: роман</t>
        </is>
      </c>
      <c r="Z951" s="1" t="inlineStr">
        <is>
          <t>16+</t>
        </is>
      </c>
      <c r="AA951" s="12" t="n">
        <v>43099</v>
      </c>
      <c r="AB951" s="1" t="inlineStr">
        <is>
          <t>Художественная литература</t>
        </is>
      </c>
      <c r="AC951" s="1" t="inlineStr">
        <is>
          <t>Детективы. Боевики. Триллеры</t>
        </is>
      </c>
      <c r="AD951" s="1" t="inlineStr">
        <is>
          <t>Русский детектив</t>
        </is>
      </c>
      <c r="AE951" s="1" t="inlineStr">
        <is>
          <t>офсетная</t>
        </is>
      </c>
      <c r="AG951" s="1" t="n">
        <v>8445120</v>
      </c>
      <c r="AI951" s="1" t="inlineStr">
        <is>
          <t>4901990000</t>
        </is>
      </c>
    </row>
    <row r="952" customFormat="1" s="1">
      <c r="C952" s="1" t="inlineStr">
        <is>
          <t xml:space="preserve">11003180            </t>
        </is>
      </c>
      <c r="D952" s="1" t="inlineStr">
        <is>
          <t>Русская классика</t>
        </is>
      </c>
      <c r="E952" s="1" t="inlineStr">
        <is>
          <t>Белая гвардия: роман. Булгаков М.А</t>
        </is>
      </c>
      <c r="F952" s="13" t="inlineStr">
        <is>
          <t>См.обл.</t>
        </is>
      </c>
      <c r="G952" s="1" t="inlineStr">
        <is>
          <t>Булгаков М.А</t>
        </is>
      </c>
      <c r="H952" s="1" t="inlineStr">
        <is>
          <t>60х90/16</t>
        </is>
      </c>
      <c r="I952" s="1" t="n">
        <v>336</v>
      </c>
      <c r="J952" s="1" t="inlineStr">
        <is>
          <t>РИПОЛ Классик</t>
        </is>
      </c>
      <c r="M952" s="1" t="inlineStr">
        <is>
          <t>2023</t>
        </is>
      </c>
      <c r="N952" s="1" t="inlineStr">
        <is>
          <t>П</t>
        </is>
      </c>
      <c r="O952" s="9" t="n">
        <v>8</v>
      </c>
      <c r="P952" s="1">
        <f>ROUNDUP(970*(1-$F$3),2)</f>
        <v/>
      </c>
      <c r="Q952" s="1" t="inlineStr">
        <is>
          <t> </t>
        </is>
      </c>
      <c r="R952" s="1" t="inlineStr">
        <is>
          <t>978-5-386-14970-3</t>
        </is>
      </c>
      <c r="S952" s="1" t="inlineStr">
        <is>
          <t>9785386149703</t>
        </is>
      </c>
      <c r="T952" s="9" t="n">
        <v>10</v>
      </c>
      <c r="U952" s="1">
        <f>ROUNDUP(881.82*(1-$F$3),2)</f>
        <v/>
      </c>
      <c r="V952" s="1" t="n">
        <v>413</v>
      </c>
      <c r="Y952" s="1" t="inlineStr">
        <is>
          <t>Белая гвардия: роман</t>
        </is>
      </c>
      <c r="Z952" s="1" t="inlineStr">
        <is>
          <t>16+</t>
        </is>
      </c>
      <c r="AA952" s="12" t="n">
        <v>45143</v>
      </c>
      <c r="AB952" s="1" t="inlineStr">
        <is>
          <t>Художественная литература</t>
        </is>
      </c>
      <c r="AC952" s="1" t="inlineStr">
        <is>
          <t>Русская литература</t>
        </is>
      </c>
      <c r="AD952" s="1" t="inlineStr">
        <is>
          <t>Русская литература советского периода (1917-1991 гг.)</t>
        </is>
      </c>
      <c r="AE952" s="1" t="inlineStr">
        <is>
          <t>офсетная</t>
        </is>
      </c>
      <c r="AG952" s="1" t="n">
        <v>11003180</v>
      </c>
      <c r="AI952" s="1" t="inlineStr">
        <is>
          <t>4901990000</t>
        </is>
      </c>
    </row>
    <row r="953" customFormat="1" s="1">
      <c r="C953" s="1" t="inlineStr">
        <is>
          <t xml:space="preserve">11022610            </t>
        </is>
      </c>
      <c r="D953" s="1" t="inlineStr">
        <is>
          <t>Русская классика</t>
        </is>
      </c>
      <c r="E953" s="1" t="inlineStr">
        <is>
          <t>Гиперболоид инженера Гарина. Аэлита. Толстой А.Н.</t>
        </is>
      </c>
      <c r="F953" s="13" t="inlineStr">
        <is>
          <t>См.обл.</t>
        </is>
      </c>
      <c r="G953" s="1" t="inlineStr">
        <is>
          <t>Толстой А.Н.</t>
        </is>
      </c>
      <c r="H953" s="1" t="inlineStr">
        <is>
          <t>60х90/16</t>
        </is>
      </c>
      <c r="I953" s="1" t="n">
        <v>512</v>
      </c>
      <c r="J953" s="1" t="inlineStr">
        <is>
          <t>РИПОЛ Классик</t>
        </is>
      </c>
      <c r="M953" s="1" t="inlineStr">
        <is>
          <t>2023</t>
        </is>
      </c>
      <c r="N953" s="1" t="inlineStr">
        <is>
          <t>П</t>
        </is>
      </c>
      <c r="O953" s="9" t="n">
        <v>6</v>
      </c>
      <c r="P953" s="1">
        <f>ROUNDUP(1150*(1-$F$3),2)</f>
        <v/>
      </c>
      <c r="Q953" s="1" t="inlineStr">
        <is>
          <t> </t>
        </is>
      </c>
      <c r="R953" s="1" t="inlineStr">
        <is>
          <t>978-5-386-15013-6</t>
        </is>
      </c>
      <c r="S953" s="1" t="inlineStr">
        <is>
          <t>9785386150136</t>
        </is>
      </c>
      <c r="T953" s="9" t="n">
        <v>10</v>
      </c>
      <c r="U953" s="1">
        <f>ROUNDUP(1045.45*(1-$F$3),2)</f>
        <v/>
      </c>
      <c r="V953" s="1" t="n">
        <v>581</v>
      </c>
      <c r="Y953" s="1" t="inlineStr">
        <is>
          <t>Гиперболоид инженера Гарина. Аэлита</t>
        </is>
      </c>
      <c r="Z953" s="1" t="inlineStr">
        <is>
          <t>12+</t>
        </is>
      </c>
      <c r="AA953" s="12" t="n">
        <v>45181</v>
      </c>
      <c r="AB953" s="1" t="inlineStr">
        <is>
          <t>Художественная литература</t>
        </is>
      </c>
      <c r="AC953" s="1" t="inlineStr">
        <is>
          <t>Фантастика. Мистика. Ужасы</t>
        </is>
      </c>
      <c r="AD953" s="1" t="inlineStr">
        <is>
          <t>Русская фантастика</t>
        </is>
      </c>
      <c r="AE953" s="1" t="inlineStr">
        <is>
          <t>офсетная</t>
        </is>
      </c>
      <c r="AG953" s="1" t="n">
        <v>11022610</v>
      </c>
      <c r="AI953" s="1" t="inlineStr">
        <is>
          <t>4901990000</t>
        </is>
      </c>
    </row>
    <row r="954" customFormat="1" s="1">
      <c r="C954" s="1" t="inlineStr">
        <is>
          <t xml:space="preserve">11022620            </t>
        </is>
      </c>
      <c r="D954" s="1" t="inlineStr">
        <is>
          <t>Русская классика</t>
        </is>
      </c>
      <c r="E954" s="1" t="inlineStr">
        <is>
          <t>Граф Калиостро. Повести и рассказы. Толстой А.Н.</t>
        </is>
      </c>
      <c r="F954" s="13" t="inlineStr">
        <is>
          <t>См.обл.</t>
        </is>
      </c>
      <c r="G954" s="1" t="inlineStr">
        <is>
          <t>Толстой А.Н.</t>
        </is>
      </c>
      <c r="H954" s="1" t="inlineStr">
        <is>
          <t>60х90/16</t>
        </is>
      </c>
      <c r="I954" s="1" t="n">
        <v>368</v>
      </c>
      <c r="J954" s="1" t="inlineStr">
        <is>
          <t>РИПОЛ Классик</t>
        </is>
      </c>
      <c r="M954" s="1" t="inlineStr">
        <is>
          <t>2023</t>
        </is>
      </c>
      <c r="N954" s="1" t="inlineStr">
        <is>
          <t>П</t>
        </is>
      </c>
      <c r="O954" s="9" t="n">
        <v>8</v>
      </c>
      <c r="P954" s="1">
        <f>ROUNDUP(890*(1-$F$3),2)</f>
        <v/>
      </c>
      <c r="Q954" s="1" t="inlineStr">
        <is>
          <t> </t>
        </is>
      </c>
      <c r="R954" s="1" t="inlineStr">
        <is>
          <t>978-5-386-15019-8</t>
        </is>
      </c>
      <c r="S954" s="1" t="inlineStr">
        <is>
          <t>9785386150198</t>
        </is>
      </c>
      <c r="T954" s="9" t="n">
        <v>10</v>
      </c>
      <c r="U954" s="1">
        <f>ROUNDUP(809.09*(1-$F$3),2)</f>
        <v/>
      </c>
      <c r="V954" s="1" t="n">
        <v>447</v>
      </c>
      <c r="Y954" s="1" t="inlineStr">
        <is>
          <t>Граф Калиостро. Повести и рассказы</t>
        </is>
      </c>
      <c r="Z954" s="1" t="inlineStr">
        <is>
          <t>12+</t>
        </is>
      </c>
      <c r="AA954" s="12" t="n">
        <v>45178</v>
      </c>
      <c r="AB954" s="1" t="inlineStr">
        <is>
          <t>Художественная литература</t>
        </is>
      </c>
      <c r="AC954" s="1" t="inlineStr">
        <is>
          <t>Русская литература</t>
        </is>
      </c>
      <c r="AD954" s="1" t="inlineStr">
        <is>
          <t>Русская литература советского периода (1917-1991 гг.)</t>
        </is>
      </c>
      <c r="AE954" s="1" t="inlineStr">
        <is>
          <t>офсетная</t>
        </is>
      </c>
      <c r="AG954" s="1" t="n">
        <v>11022620</v>
      </c>
      <c r="AI954" s="1" t="inlineStr">
        <is>
          <t>4901990000</t>
        </is>
      </c>
    </row>
    <row r="955" customFormat="1" s="1">
      <c r="C955" s="1" t="inlineStr">
        <is>
          <t xml:space="preserve">11079440            </t>
        </is>
      </c>
      <c r="D955" s="1" t="inlineStr">
        <is>
          <t>Русская классика</t>
        </is>
      </c>
      <c r="E955" s="1" t="inlineStr">
        <is>
          <t>Петр Первый: В 2 кн. (комплект из 2-х кн.). Толстой А.Н.</t>
        </is>
      </c>
      <c r="F955" s="13" t="inlineStr">
        <is>
          <t>См.обл.</t>
        </is>
      </c>
      <c r="G955" s="1" t="inlineStr">
        <is>
          <t>Толстой А.Н.</t>
        </is>
      </c>
      <c r="H955" s="1" t="inlineStr">
        <is>
          <t>60х90/16</t>
        </is>
      </c>
      <c r="I955" s="1" t="n">
        <v>960</v>
      </c>
      <c r="J955" s="1" t="inlineStr">
        <is>
          <t>РИПОЛ Классик</t>
        </is>
      </c>
      <c r="M955" s="1" t="inlineStr">
        <is>
          <t>2023</t>
        </is>
      </c>
      <c r="N955" s="1" t="inlineStr">
        <is>
          <t>П</t>
        </is>
      </c>
      <c r="O955" s="9" t="n">
        <v>4</v>
      </c>
      <c r="P955" s="1">
        <f>ROUNDUP(1670*(1-$F$3),2)</f>
        <v/>
      </c>
      <c r="Q955" s="1" t="inlineStr">
        <is>
          <t> </t>
        </is>
      </c>
      <c r="R955" s="1" t="inlineStr">
        <is>
          <t>978-5-386-15095-2</t>
        </is>
      </c>
      <c r="S955" s="1" t="inlineStr">
        <is>
          <t>9785386150952</t>
        </is>
      </c>
      <c r="T955" s="9" t="n">
        <v>10</v>
      </c>
      <c r="U955" s="1">
        <f>ROUNDUP(1518.18*(1-$F$3),2)</f>
        <v/>
      </c>
      <c r="V955" s="1" t="n">
        <v>1063</v>
      </c>
      <c r="Y955" s="1" t="inlineStr">
        <is>
          <t>Петр Первый: В 2 кн. (комплект из 2-х кн.)</t>
        </is>
      </c>
      <c r="AA955" s="12" t="n">
        <v>45178</v>
      </c>
      <c r="AB955" s="1" t="inlineStr">
        <is>
          <t>Художественная литература</t>
        </is>
      </c>
      <c r="AC955" s="1" t="inlineStr">
        <is>
          <t>Историческая проза</t>
        </is>
      </c>
      <c r="AD955" s="1" t="inlineStr">
        <is>
          <t>Русская историческая проза</t>
        </is>
      </c>
      <c r="AE955" s="1" t="inlineStr">
        <is>
          <t>офсетная</t>
        </is>
      </c>
      <c r="AG955" s="1" t="n">
        <v>11079440</v>
      </c>
      <c r="AI955" s="1" t="inlineStr">
        <is>
          <t>4901990000</t>
        </is>
      </c>
    </row>
    <row r="956" customFormat="1" s="1">
      <c r="C956" s="1" t="inlineStr">
        <is>
          <t xml:space="preserve">11004000            </t>
        </is>
      </c>
      <c r="D956" s="1" t="inlineStr">
        <is>
          <t>Русская классика</t>
        </is>
      </c>
      <c r="E956" s="1" t="inlineStr">
        <is>
          <t>Собачье сердце: повести. Булгаков М.А</t>
        </is>
      </c>
      <c r="F956" s="13" t="inlineStr">
        <is>
          <t>См.обл.</t>
        </is>
      </c>
      <c r="G956" s="1" t="inlineStr">
        <is>
          <t>Булгаков М.А</t>
        </is>
      </c>
      <c r="H956" s="1" t="inlineStr">
        <is>
          <t>60х90/16</t>
        </is>
      </c>
      <c r="I956" s="1" t="n">
        <v>336</v>
      </c>
      <c r="J956" s="1" t="inlineStr">
        <is>
          <t>РИПОЛ Классик</t>
        </is>
      </c>
      <c r="M956" s="1" t="inlineStr">
        <is>
          <t>2024</t>
        </is>
      </c>
      <c r="N956" s="1" t="inlineStr">
        <is>
          <t>П</t>
        </is>
      </c>
      <c r="O956" s="9" t="n">
        <v>12</v>
      </c>
      <c r="P956" s="1">
        <f>ROUNDUP(970*(1-$F$3),2)</f>
        <v/>
      </c>
      <c r="Q956" s="1" t="inlineStr">
        <is>
          <t> </t>
        </is>
      </c>
      <c r="R956" s="1" t="inlineStr">
        <is>
          <t>978-5-386-14972-7</t>
        </is>
      </c>
      <c r="S956" s="1" t="inlineStr">
        <is>
          <t>9785386149727</t>
        </is>
      </c>
      <c r="T956" s="9" t="n">
        <v>10</v>
      </c>
      <c r="U956" s="1">
        <f>ROUNDUP(881.82*(1-$F$3),2)</f>
        <v/>
      </c>
      <c r="V956" s="1" t="n">
        <v>433</v>
      </c>
      <c r="Y956" s="1" t="inlineStr">
        <is>
          <t>Собачье сердце: повести</t>
        </is>
      </c>
      <c r="Z956" s="1" t="inlineStr">
        <is>
          <t>16+</t>
        </is>
      </c>
      <c r="AA956" s="12" t="n">
        <v>45143</v>
      </c>
      <c r="AB956" s="1" t="inlineStr">
        <is>
          <t>Художественная литература</t>
        </is>
      </c>
      <c r="AC956" s="1" t="inlineStr">
        <is>
          <t>Русская литература</t>
        </is>
      </c>
      <c r="AD956" s="1" t="inlineStr">
        <is>
          <t>Русская литература советского периода (1917-1991 гг.)</t>
        </is>
      </c>
      <c r="AE956" s="1" t="inlineStr">
        <is>
          <t>офсетная</t>
        </is>
      </c>
      <c r="AG956" s="1" t="n">
        <v>11004000</v>
      </c>
      <c r="AI956" s="1" t="inlineStr">
        <is>
          <t>4901990000</t>
        </is>
      </c>
    </row>
    <row r="957" customFormat="1" s="1">
      <c r="C957" s="1" t="inlineStr">
        <is>
          <t xml:space="preserve">11079410            </t>
        </is>
      </c>
      <c r="D957" s="1" t="inlineStr">
        <is>
          <t>Русская классика</t>
        </is>
      </c>
      <c r="E957" s="1" t="inlineStr">
        <is>
          <t>Хождение по мукам в 3-х кн : Кн. 1: Сестры; Кн. 2: Восемнадцатый год; Кн. 3: Хмурое утро. Толстой А.Н.</t>
        </is>
      </c>
      <c r="F957" s="13" t="inlineStr">
        <is>
          <t>См.обл.</t>
        </is>
      </c>
      <c r="G957" s="1" t="inlineStr">
        <is>
          <t>Толстой А.Н.</t>
        </is>
      </c>
      <c r="H957" s="1" t="inlineStr">
        <is>
          <t>60х90/16</t>
        </is>
      </c>
      <c r="I957" s="1" t="n">
        <v>1168</v>
      </c>
      <c r="J957" s="1" t="inlineStr">
        <is>
          <t>РИПОЛ Классик</t>
        </is>
      </c>
      <c r="M957" s="1" t="inlineStr">
        <is>
          <t>2023</t>
        </is>
      </c>
      <c r="N957" s="1" t="inlineStr">
        <is>
          <t>П</t>
        </is>
      </c>
      <c r="O957" s="9" t="n">
        <v>2</v>
      </c>
      <c r="P957" s="1">
        <f>ROUNDUP(2190*(1-$F$3),2)</f>
        <v/>
      </c>
      <c r="Q957" s="1" t="inlineStr">
        <is>
          <t> </t>
        </is>
      </c>
      <c r="R957" s="1" t="inlineStr">
        <is>
          <t>978-5-386-15094-5</t>
        </is>
      </c>
      <c r="S957" s="1" t="inlineStr">
        <is>
          <t>9785386150945</t>
        </is>
      </c>
      <c r="T957" s="9" t="n">
        <v>10</v>
      </c>
      <c r="U957" s="1">
        <f>ROUNDUP(1990.91*(1-$F$3),2)</f>
        <v/>
      </c>
      <c r="V957" s="1" t="n">
        <v>1361</v>
      </c>
      <c r="Y957" s="1" t="inlineStr">
        <is>
          <t>Хождение по мукам в 3-х кн : Кн. 1: Сестры; Кн. 2: Восемнадцатый год; Кн. 3: Хмурое утро</t>
        </is>
      </c>
      <c r="AA957" s="12" t="n">
        <v>45178</v>
      </c>
      <c r="AB957" s="1" t="inlineStr">
        <is>
          <t>Художественная литература</t>
        </is>
      </c>
      <c r="AC957" s="1" t="inlineStr">
        <is>
          <t>Русская литература</t>
        </is>
      </c>
      <c r="AD957" s="1" t="inlineStr">
        <is>
          <t>Русская литература советского периода (1917-1991 гг.)</t>
        </is>
      </c>
      <c r="AE957" s="1" t="inlineStr">
        <is>
          <t>офсетная</t>
        </is>
      </c>
      <c r="AG957" s="1" t="n">
        <v>11079410</v>
      </c>
      <c r="AI957" s="1" t="inlineStr">
        <is>
          <t>4901990000</t>
        </is>
      </c>
    </row>
    <row r="958" customFormat="1" s="1">
      <c r="C958" s="1" t="inlineStr">
        <is>
          <t xml:space="preserve">8477850             </t>
        </is>
      </c>
      <c r="D958" s="1" t="inlineStr">
        <is>
          <t>Русские беседы</t>
        </is>
      </c>
      <c r="E958" s="1" t="inlineStr">
        <is>
          <t>Русские беседы: уходящая натура. Тесля А.А.</t>
        </is>
      </c>
      <c r="F958" s="13" t="inlineStr">
        <is>
          <t>См.обл.</t>
        </is>
      </c>
      <c r="G958" s="1" t="inlineStr">
        <is>
          <t>Тесля А.А.</t>
        </is>
      </c>
      <c r="H958" s="1" t="inlineStr">
        <is>
          <t>80х100/32</t>
        </is>
      </c>
      <c r="I958" s="1" t="n">
        <v>398</v>
      </c>
      <c r="J958" s="1" t="inlineStr">
        <is>
          <t>РИПОЛ Классик</t>
        </is>
      </c>
      <c r="M958" s="1" t="inlineStr">
        <is>
          <t>2018</t>
        </is>
      </c>
      <c r="N958" s="1" t="inlineStr">
        <is>
          <t>О</t>
        </is>
      </c>
      <c r="O958" s="9" t="n">
        <v>10</v>
      </c>
      <c r="P958" s="1">
        <f>ROUNDUP(1310.5*(1-$F$3),2)</f>
        <v/>
      </c>
      <c r="Q958" s="1" t="inlineStr">
        <is>
          <t> </t>
        </is>
      </c>
      <c r="R958" s="1" t="inlineStr">
        <is>
          <t>978-5-386-10541-9</t>
        </is>
      </c>
      <c r="S958" s="1" t="inlineStr">
        <is>
          <t>9785386105419</t>
        </is>
      </c>
      <c r="T958" s="9" t="n">
        <v>10</v>
      </c>
      <c r="U958" s="1">
        <f>ROUNDUP(1191.36*(1-$F$3),2)</f>
        <v/>
      </c>
      <c r="V958" s="1" t="n">
        <v>293</v>
      </c>
      <c r="Y958" s="1" t="inlineStr">
        <is>
          <t>Русские беседы: уходящая натура</t>
        </is>
      </c>
      <c r="Z958" s="1" t="inlineStr">
        <is>
          <t>12+</t>
        </is>
      </c>
      <c r="AA958" s="12" t="n">
        <v>43147</v>
      </c>
      <c r="AB958" s="1" t="inlineStr">
        <is>
          <t>Гуманитарные науки</t>
        </is>
      </c>
      <c r="AC958" s="1" t="inlineStr">
        <is>
          <t>Философские науки</t>
        </is>
      </c>
      <c r="AD958" s="1" t="inlineStr">
        <is>
          <t>Прикладная философия</t>
        </is>
      </c>
      <c r="AE958" s="1" t="inlineStr">
        <is>
          <t>офсетная</t>
        </is>
      </c>
      <c r="AG958" s="1" t="n">
        <v>8477850</v>
      </c>
      <c r="AI958" s="1" t="inlineStr">
        <is>
          <t>4901990000</t>
        </is>
      </c>
    </row>
    <row r="959" customFormat="1" s="1">
      <c r="C959" s="1" t="inlineStr">
        <is>
          <t xml:space="preserve">8195310             </t>
        </is>
      </c>
      <c r="D959" s="1" t="inlineStr">
        <is>
          <t>Русские мыслители</t>
        </is>
      </c>
      <c r="E959" s="1" t="inlineStr">
        <is>
          <t>Россия. Путь истины. Гоголь Н.В.</t>
        </is>
      </c>
      <c r="F959" s="13" t="inlineStr">
        <is>
          <t>См.обл.</t>
        </is>
      </c>
      <c r="G959" s="1" t="inlineStr">
        <is>
          <t>Гоголь Н.В.</t>
        </is>
      </c>
      <c r="H959" s="1" t="inlineStr">
        <is>
          <t>60х90/16</t>
        </is>
      </c>
      <c r="I959" s="1" t="n">
        <v>672</v>
      </c>
      <c r="J959" s="1" t="inlineStr">
        <is>
          <t>РИПОЛ Классик</t>
        </is>
      </c>
      <c r="M959" s="1" t="inlineStr">
        <is>
          <t>2026</t>
        </is>
      </c>
      <c r="N959" s="1" t="inlineStr">
        <is>
          <t>П</t>
        </is>
      </c>
      <c r="O959" s="9" t="n">
        <v>6</v>
      </c>
      <c r="P959" s="1">
        <f>ROUNDUP(1693.9*(1-$F$3),2)</f>
        <v/>
      </c>
      <c r="Q959" s="1" t="inlineStr">
        <is>
          <t> </t>
        </is>
      </c>
      <c r="R959" s="1" t="inlineStr">
        <is>
          <t>978-5-386-08587-2</t>
        </is>
      </c>
      <c r="S959" s="1" t="inlineStr">
        <is>
          <t>9785386085872</t>
        </is>
      </c>
      <c r="T959" s="9" t="n">
        <v>10</v>
      </c>
      <c r="U959" s="1">
        <f>ROUNDUP(1539.91*(1-$F$3),2)</f>
        <v/>
      </c>
      <c r="V959" s="1" t="n">
        <v>749</v>
      </c>
      <c r="Y959" s="1" t="inlineStr">
        <is>
          <t>Россия. Путь истины</t>
        </is>
      </c>
      <c r="Z959" s="1" t="inlineStr">
        <is>
          <t>12+</t>
        </is>
      </c>
      <c r="AA959" s="12" t="n">
        <v>42907</v>
      </c>
      <c r="AB959" s="1" t="inlineStr">
        <is>
          <t>Гуманитарные науки</t>
        </is>
      </c>
      <c r="AC959" s="1" t="inlineStr">
        <is>
          <t>Философские науки</t>
        </is>
      </c>
      <c r="AD959" s="1" t="inlineStr">
        <is>
          <t>Философия в целом. Труды</t>
        </is>
      </c>
      <c r="AE959" s="1" t="inlineStr">
        <is>
          <t>офсетная</t>
        </is>
      </c>
      <c r="AG959" s="1" t="n">
        <v>8195310</v>
      </c>
      <c r="AI959" s="1" t="inlineStr">
        <is>
          <t>4901990000</t>
        </is>
      </c>
    </row>
    <row r="960" customFormat="1" s="1">
      <c r="C960" s="1" t="inlineStr">
        <is>
          <t xml:space="preserve">8987000             </t>
        </is>
      </c>
      <c r="D960" s="1" t="inlineStr">
        <is>
          <t>Рядом с тобой</t>
        </is>
      </c>
      <c r="E960" s="1" t="inlineStr">
        <is>
          <t>Лайкни меня: роман. Кунер Д.</t>
        </is>
      </c>
      <c r="F960" s="13" t="inlineStr">
        <is>
          <t>См.обл.</t>
        </is>
      </c>
      <c r="G960" s="1" t="inlineStr">
        <is>
          <t>Кунер Д.</t>
        </is>
      </c>
      <c r="H960" s="1" t="inlineStr">
        <is>
          <t>60х90/16</t>
        </is>
      </c>
      <c r="I960" s="1" t="n">
        <v>255</v>
      </c>
      <c r="J960" s="1" t="inlineStr">
        <is>
          <t>РИПОЛ Классик</t>
        </is>
      </c>
      <c r="K960" s="1" t="inlineStr">
        <is>
          <t>Пальмира</t>
        </is>
      </c>
      <c r="M960" s="1" t="inlineStr">
        <is>
          <t>2019</t>
        </is>
      </c>
      <c r="N960" s="1" t="inlineStr">
        <is>
          <t>П</t>
        </is>
      </c>
      <c r="O960" s="9" t="n">
        <v>18</v>
      </c>
      <c r="P960" s="1">
        <f>ROUNDUP(1020*(1-$F$3),2)</f>
        <v/>
      </c>
      <c r="Q960" s="1" t="inlineStr">
        <is>
          <t> </t>
        </is>
      </c>
      <c r="R960" s="1" t="inlineStr">
        <is>
          <t>978-5-386-10486-3</t>
        </is>
      </c>
      <c r="S960" s="1" t="inlineStr">
        <is>
          <t>9785386104863</t>
        </is>
      </c>
      <c r="T960" s="9" t="n">
        <v>10</v>
      </c>
      <c r="U960" s="1">
        <f>ROUNDUP(927.27*(1-$F$3),2)</f>
        <v/>
      </c>
      <c r="V960" s="1" t="n">
        <v>346</v>
      </c>
      <c r="Y960" s="1" t="inlineStr">
        <is>
          <t>Лайкни меня: роман</t>
        </is>
      </c>
      <c r="Z960" s="1" t="inlineStr">
        <is>
          <t>16+</t>
        </is>
      </c>
      <c r="AA960" s="12" t="n">
        <v>43549</v>
      </c>
      <c r="AB960" s="1" t="inlineStr">
        <is>
          <t>Художественная литература</t>
        </is>
      </c>
      <c r="AC960" s="1" t="inlineStr">
        <is>
          <t>Зарубежная литература</t>
        </is>
      </c>
      <c r="AD960" s="1" t="inlineStr">
        <is>
          <t>Литература Америки и Австралии</t>
        </is>
      </c>
      <c r="AE960" s="1" t="inlineStr">
        <is>
          <t>офсетная</t>
        </is>
      </c>
      <c r="AG960" s="1" t="n">
        <v>8987000</v>
      </c>
      <c r="AI960" s="1" t="inlineStr">
        <is>
          <t>4901990000</t>
        </is>
      </c>
    </row>
    <row r="961" customFormat="1" s="1">
      <c r="C961" s="1" t="inlineStr">
        <is>
          <t xml:space="preserve">8989680             </t>
        </is>
      </c>
      <c r="D961" s="1" t="inlineStr">
        <is>
          <t>Рядом с тобой</t>
        </is>
      </c>
      <c r="E961" s="1" t="inlineStr">
        <is>
          <t>Последний маленький голубой конверт: роман. Джонсон М.</t>
        </is>
      </c>
      <c r="F961" s="13" t="inlineStr">
        <is>
          <t>См.обл.</t>
        </is>
      </c>
      <c r="G961" s="1" t="inlineStr">
        <is>
          <t>Джонсон М.</t>
        </is>
      </c>
      <c r="H961" s="1" t="inlineStr">
        <is>
          <t>60х90/16</t>
        </is>
      </c>
      <c r="I961" s="1" t="n">
        <v>271</v>
      </c>
      <c r="J961" s="1" t="inlineStr">
        <is>
          <t>РИПОЛ Классик</t>
        </is>
      </c>
      <c r="K961" s="1" t="inlineStr">
        <is>
          <t>Пальмира</t>
        </is>
      </c>
      <c r="M961" s="1" t="inlineStr">
        <is>
          <t>2019</t>
        </is>
      </c>
      <c r="N961" s="1" t="inlineStr">
        <is>
          <t>П</t>
        </is>
      </c>
      <c r="O961" s="9" t="n">
        <v>18</v>
      </c>
      <c r="P961" s="1">
        <f>ROUNDUP(1120*(1-$F$3),2)</f>
        <v/>
      </c>
      <c r="Q961" s="1" t="inlineStr">
        <is>
          <t> </t>
        </is>
      </c>
      <c r="R961" s="1" t="inlineStr">
        <is>
          <t>978-5-386-12482-3</t>
        </is>
      </c>
      <c r="S961" s="1" t="inlineStr">
        <is>
          <t>9785386124823</t>
        </is>
      </c>
      <c r="T961" s="9" t="n">
        <v>10</v>
      </c>
      <c r="U961" s="1">
        <f>ROUNDUP(1018.18*(1-$F$3),2)</f>
        <v/>
      </c>
      <c r="V961" s="1" t="n">
        <v>361</v>
      </c>
      <c r="Y961" s="1" t="inlineStr">
        <is>
          <t>Последний маленький голубой конверт: роман</t>
        </is>
      </c>
      <c r="Z961" s="1" t="inlineStr">
        <is>
          <t>16+</t>
        </is>
      </c>
      <c r="AA961" s="12" t="n">
        <v>43550</v>
      </c>
      <c r="AB961" s="1" t="inlineStr">
        <is>
          <t>Художественная литература</t>
        </is>
      </c>
      <c r="AC961" s="1" t="inlineStr">
        <is>
          <t>Зарубежная литература</t>
        </is>
      </c>
      <c r="AD961" s="1" t="inlineStr">
        <is>
          <t>Литература Америки и Австралии</t>
        </is>
      </c>
      <c r="AE961" s="1" t="inlineStr">
        <is>
          <t>офсетная</t>
        </is>
      </c>
      <c r="AG961" s="1" t="n">
        <v>8989680</v>
      </c>
      <c r="AI961" s="1" t="inlineStr">
        <is>
          <t>4901990000</t>
        </is>
      </c>
    </row>
    <row r="962" customFormat="1" s="1">
      <c r="C962" s="1" t="inlineStr">
        <is>
          <t xml:space="preserve">8905350             </t>
        </is>
      </c>
      <c r="D962" s="1" t="inlineStr">
        <is>
          <t>Рядом с тобой</t>
        </is>
      </c>
      <c r="E962" s="1" t="inlineStr">
        <is>
          <t>Рядом с тобой: роман. Уэст К.</t>
        </is>
      </c>
      <c r="F962" s="13" t="inlineStr">
        <is>
          <t>См.обл.</t>
        </is>
      </c>
      <c r="G962" s="1" t="inlineStr">
        <is>
          <t>Уэст К.</t>
        </is>
      </c>
      <c r="H962" s="1" t="inlineStr">
        <is>
          <t>60х90/16</t>
        </is>
      </c>
      <c r="I962" s="1" t="n">
        <v>304</v>
      </c>
      <c r="J962" s="1" t="inlineStr">
        <is>
          <t>РИПОЛ Классик</t>
        </is>
      </c>
      <c r="K962" s="1" t="inlineStr">
        <is>
          <t>Пальмира</t>
        </is>
      </c>
      <c r="M962" s="1" t="inlineStr">
        <is>
          <t>2022</t>
        </is>
      </c>
      <c r="N962" s="1" t="inlineStr">
        <is>
          <t>П</t>
        </is>
      </c>
      <c r="O962" s="9" t="n">
        <v>10</v>
      </c>
      <c r="P962" s="1">
        <f>ROUNDUP(1100*(1-$F$3),2)</f>
        <v/>
      </c>
      <c r="Q962" s="1" t="inlineStr">
        <is>
          <t> </t>
        </is>
      </c>
      <c r="R962" s="1" t="inlineStr">
        <is>
          <t>978-5-386-12327-7</t>
        </is>
      </c>
      <c r="S962" s="1" t="inlineStr">
        <is>
          <t>9785386123277</t>
        </is>
      </c>
      <c r="T962" s="9" t="n">
        <v>10</v>
      </c>
      <c r="U962" s="1">
        <f>ROUNDUP(1000*(1-$F$3),2)</f>
        <v/>
      </c>
      <c r="V962" s="1" t="n">
        <v>419</v>
      </c>
      <c r="Y962" s="1" t="inlineStr">
        <is>
          <t>Рядом с тобой: роман</t>
        </is>
      </c>
      <c r="Z962" s="1" t="inlineStr">
        <is>
          <t>16+</t>
        </is>
      </c>
      <c r="AA962" s="12" t="n">
        <v>43481</v>
      </c>
      <c r="AB962" s="1" t="inlineStr">
        <is>
          <t>Художественная литература</t>
        </is>
      </c>
      <c r="AC962" s="1" t="inlineStr">
        <is>
          <t>Зарубежная литература</t>
        </is>
      </c>
      <c r="AD962" s="1" t="inlineStr">
        <is>
          <t>Литература Америки и Австралии</t>
        </is>
      </c>
      <c r="AE962" s="1" t="inlineStr">
        <is>
          <t>офсетная</t>
        </is>
      </c>
      <c r="AG962" s="1" t="n">
        <v>8905350</v>
      </c>
      <c r="AI962" s="1" t="inlineStr">
        <is>
          <t>4901990000</t>
        </is>
      </c>
    </row>
    <row r="963" customFormat="1" s="1">
      <c r="C963" s="1" t="inlineStr">
        <is>
          <t xml:space="preserve">9313210             </t>
        </is>
      </c>
      <c r="D963" s="1" t="inlineStr">
        <is>
          <t>Рядом с тобой Pocket</t>
        </is>
      </c>
      <c r="E963" s="1" t="inlineStr">
        <is>
          <t>Вероятно, Алекс: роман. Беннет Дж.</t>
        </is>
      </c>
      <c r="F963" s="13" t="inlineStr">
        <is>
          <t>См.обл.</t>
        </is>
      </c>
      <c r="G963" s="1" t="inlineStr">
        <is>
          <t>Беннет Дж.</t>
        </is>
      </c>
      <c r="H963" s="1" t="inlineStr">
        <is>
          <t>76х100/32</t>
        </is>
      </c>
      <c r="I963" s="1" t="n">
        <v>416</v>
      </c>
      <c r="J963" s="1" t="inlineStr">
        <is>
          <t>РИПОЛ Классик</t>
        </is>
      </c>
      <c r="M963" s="1" t="inlineStr">
        <is>
          <t>2020</t>
        </is>
      </c>
      <c r="N963" s="1" t="inlineStr">
        <is>
          <t>О</t>
        </is>
      </c>
      <c r="O963" s="9" t="n">
        <v>7</v>
      </c>
      <c r="P963" s="1">
        <f>ROUNDUP(558.7*(1-$F$3),2)</f>
        <v/>
      </c>
      <c r="Q963" s="1" t="inlineStr">
        <is>
          <t> </t>
        </is>
      </c>
      <c r="R963" s="1" t="inlineStr">
        <is>
          <t>978-5-386-13595-9</t>
        </is>
      </c>
      <c r="S963" s="1" t="inlineStr">
        <is>
          <t>9785386135959</t>
        </is>
      </c>
      <c r="T963" s="9" t="n">
        <v>10</v>
      </c>
      <c r="U963" s="1">
        <f>ROUNDUP(507.91*(1-$F$3),2)</f>
        <v/>
      </c>
      <c r="V963" s="1" t="n">
        <v>207</v>
      </c>
      <c r="Y963" s="1" t="inlineStr">
        <is>
          <t>Вероятно, Алекс: роман</t>
        </is>
      </c>
      <c r="Z963" s="1" t="inlineStr">
        <is>
          <t>16+</t>
        </is>
      </c>
      <c r="AA963" s="12" t="n">
        <v>43881</v>
      </c>
      <c r="AB963" s="1" t="inlineStr">
        <is>
          <t>Художественная литература</t>
        </is>
      </c>
      <c r="AC963" s="1" t="inlineStr">
        <is>
          <t>Зарубежная литература</t>
        </is>
      </c>
      <c r="AD963" s="1" t="inlineStr">
        <is>
          <t>Литература Америки и Австралии</t>
        </is>
      </c>
      <c r="AE963" s="1" t="inlineStr">
        <is>
          <t>газетная</t>
        </is>
      </c>
      <c r="AG963" s="1" t="n">
        <v>9313210</v>
      </c>
      <c r="AI963" s="1" t="inlineStr">
        <is>
          <t>4901990000</t>
        </is>
      </c>
      <c r="AJ963" s="1" t="inlineStr">
        <is>
          <t>Зпв</t>
        </is>
      </c>
    </row>
    <row r="964" customFormat="1" s="1">
      <c r="C964" s="1" t="inlineStr">
        <is>
          <t xml:space="preserve">11062610            </t>
        </is>
      </c>
      <c r="D964" s="1" t="inlineStr">
        <is>
          <t>Сакральные тексты</t>
        </is>
      </c>
      <c r="E964" s="1" t="inlineStr">
        <is>
          <t>Битвы на атласных простынях. Святость, эрос и плоть в Китае. 2-е изд., испр.и доп. Маслов А.А.</t>
        </is>
      </c>
      <c r="F964" s="13" t="inlineStr">
        <is>
          <t>См.обл.</t>
        </is>
      </c>
      <c r="G964" s="1" t="inlineStr">
        <is>
          <t>Маслов А.А.</t>
        </is>
      </c>
      <c r="H964" s="1" t="inlineStr">
        <is>
          <t>70х100/16</t>
        </is>
      </c>
      <c r="I964" s="1" t="n">
        <v>384</v>
      </c>
      <c r="J964" s="1" t="inlineStr">
        <is>
          <t>РИПОЛ Классик</t>
        </is>
      </c>
      <c r="M964" s="1" t="inlineStr">
        <is>
          <t>2026</t>
        </is>
      </c>
      <c r="N964" s="1" t="inlineStr">
        <is>
          <t>П</t>
        </is>
      </c>
      <c r="O964" s="9" t="n">
        <v>4</v>
      </c>
      <c r="P964" s="1">
        <f>ROUNDUP(1880*(1-$F$3),2)</f>
        <v/>
      </c>
      <c r="Q964" s="1" t="inlineStr">
        <is>
          <t> </t>
        </is>
      </c>
      <c r="R964" s="1" t="inlineStr">
        <is>
          <t>978-5-386-14960-4</t>
        </is>
      </c>
      <c r="S964" s="1" t="inlineStr">
        <is>
          <t>9785386149604</t>
        </is>
      </c>
      <c r="T964" s="9" t="n">
        <v>22</v>
      </c>
      <c r="U964" s="1">
        <f>ROUNDUP(1540.98*(1-$F$3),2)</f>
        <v/>
      </c>
      <c r="V964" s="1" t="n">
        <v>853</v>
      </c>
      <c r="Y964" s="1" t="inlineStr">
        <is>
          <t>Битвы на атласных простынях. Святость, эрос и плоть в Китае. 2-е изд., испр.и доп</t>
        </is>
      </c>
      <c r="Z964" s="1" t="inlineStr">
        <is>
          <t>18+</t>
        </is>
      </c>
      <c r="AA964" s="12" t="n">
        <v>45209</v>
      </c>
      <c r="AB964" s="1" t="inlineStr">
        <is>
          <t>Гуманитарные науки</t>
        </is>
      </c>
      <c r="AC964" s="1" t="inlineStr">
        <is>
          <t>Философские науки</t>
        </is>
      </c>
      <c r="AD964" s="1" t="inlineStr">
        <is>
          <t>Восточная философия</t>
        </is>
      </c>
      <c r="AE964" s="1" t="inlineStr">
        <is>
          <t>офсетная</t>
        </is>
      </c>
      <c r="AG964" s="1" t="n">
        <v>11062610</v>
      </c>
      <c r="AI964" s="1" t="inlineStr">
        <is>
          <t>4901990000</t>
        </is>
      </c>
    </row>
    <row r="965" customFormat="1" s="1">
      <c r="C965" s="1" t="inlineStr">
        <is>
          <t xml:space="preserve">9416790             </t>
        </is>
      </c>
      <c r="D965" s="1" t="inlineStr">
        <is>
          <t>Сакральные тексты</t>
        </is>
      </c>
      <c r="E965" s="1" t="inlineStr">
        <is>
          <t>Конфуций. Беседы с одиноким мудрецом. Маслов А.А.</t>
        </is>
      </c>
      <c r="F965" s="13" t="inlineStr">
        <is>
          <t>См.обл.</t>
        </is>
      </c>
      <c r="G965" s="1" t="inlineStr">
        <is>
          <t>Маслов А.А.</t>
        </is>
      </c>
      <c r="H965" s="1" t="inlineStr">
        <is>
          <t>70х90/16</t>
        </is>
      </c>
      <c r="I965" s="1" t="n">
        <v>320</v>
      </c>
      <c r="J965" s="1" t="inlineStr">
        <is>
          <t>РИПОЛ Классик</t>
        </is>
      </c>
      <c r="M965" s="1" t="inlineStr">
        <is>
          <t>2026</t>
        </is>
      </c>
      <c r="N965" s="1" t="inlineStr">
        <is>
          <t>П</t>
        </is>
      </c>
      <c r="O965" s="9" t="n">
        <v>5</v>
      </c>
      <c r="P965" s="1">
        <f>ROUNDUP(1840*(1-$F$3),2)</f>
        <v/>
      </c>
      <c r="Q965" s="1" t="inlineStr">
        <is>
          <t> </t>
        </is>
      </c>
      <c r="R965" s="1" t="inlineStr">
        <is>
          <t>978-5-386-13693-2</t>
        </is>
      </c>
      <c r="S965" s="1" t="inlineStr">
        <is>
          <t>9785386136932</t>
        </is>
      </c>
      <c r="T965" s="9" t="n">
        <v>10</v>
      </c>
      <c r="U965" s="1">
        <f>ROUNDUP(1672.73*(1-$F$3),2)</f>
        <v/>
      </c>
      <c r="V965" s="1" t="n">
        <v>578</v>
      </c>
      <c r="Y965" s="1" t="inlineStr">
        <is>
          <t>Конфуций. Беседы с одиноким мудрецом</t>
        </is>
      </c>
      <c r="Z965" s="1" t="inlineStr">
        <is>
          <t>12+</t>
        </is>
      </c>
      <c r="AA965" s="12" t="n">
        <v>44026</v>
      </c>
      <c r="AB965" s="1" t="inlineStr">
        <is>
          <t>Гуманитарные науки</t>
        </is>
      </c>
      <c r="AC965" s="1" t="inlineStr">
        <is>
          <t>Философские науки</t>
        </is>
      </c>
      <c r="AD965" s="1" t="inlineStr">
        <is>
          <t>Восточная философия</t>
        </is>
      </c>
      <c r="AE965" s="1" t="inlineStr">
        <is>
          <t>офсетная</t>
        </is>
      </c>
      <c r="AG965" s="1" t="n">
        <v>9416790</v>
      </c>
      <c r="AI965" s="1" t="inlineStr">
        <is>
          <t>4901990000</t>
        </is>
      </c>
    </row>
    <row r="966" customFormat="1" s="1">
      <c r="C966" s="1" t="inlineStr">
        <is>
          <t xml:space="preserve">11498970            </t>
        </is>
      </c>
      <c r="D966" s="1" t="inlineStr">
        <is>
          <t>Сакральные тексты</t>
        </is>
      </c>
      <c r="E966" s="1" t="inlineStr">
        <is>
          <t>Пространство священного в Китае: маги, мудрецы и бессмертные. Маслов А.А.</t>
        </is>
      </c>
      <c r="F966" s="13" t="inlineStr">
        <is>
          <t>См.обл.</t>
        </is>
      </c>
      <c r="G966" s="1" t="inlineStr">
        <is>
          <t>Маслов А.А.</t>
        </is>
      </c>
      <c r="H966" s="1" t="inlineStr">
        <is>
          <t>70х100/16</t>
        </is>
      </c>
      <c r="I966" s="1" t="n">
        <v>448</v>
      </c>
      <c r="J966" s="1" t="inlineStr">
        <is>
          <t>РИПОЛ Классик</t>
        </is>
      </c>
      <c r="M966" s="1" t="inlineStr">
        <is>
          <t>2026</t>
        </is>
      </c>
      <c r="N966" s="1" t="inlineStr">
        <is>
          <t>П</t>
        </is>
      </c>
      <c r="O966" s="9" t="n">
        <v>8</v>
      </c>
      <c r="P966" s="1">
        <f>ROUNDUP(1500*(1-$F$3),2)</f>
        <v/>
      </c>
      <c r="Q966" s="1" t="inlineStr">
        <is>
          <t> </t>
        </is>
      </c>
      <c r="R966" s="1" t="inlineStr">
        <is>
          <t>978-5-386-15352-6</t>
        </is>
      </c>
      <c r="S966" s="1" t="inlineStr">
        <is>
          <t>9785386153526</t>
        </is>
      </c>
      <c r="T966" s="9" t="n">
        <v>22</v>
      </c>
      <c r="U966" s="1">
        <f>ROUNDUP(1229.51*(1-$F$3),2)</f>
        <v/>
      </c>
      <c r="V966" s="1" t="n">
        <v>625</v>
      </c>
      <c r="Y966" s="1" t="inlineStr">
        <is>
          <t>Пространство священного в Китае: маги, мудрецы и бессмертные</t>
        </is>
      </c>
      <c r="Z966" s="1" t="inlineStr">
        <is>
          <t>18+</t>
        </is>
      </c>
      <c r="AA966" s="12" t="n">
        <v>45566</v>
      </c>
      <c r="AB966" s="1" t="inlineStr">
        <is>
          <t>Гуманитарные науки</t>
        </is>
      </c>
      <c r="AC966" s="1" t="inlineStr">
        <is>
          <t>Философские науки</t>
        </is>
      </c>
      <c r="AD966" s="1" t="inlineStr">
        <is>
          <t>Восточная философия</t>
        </is>
      </c>
      <c r="AE966" s="1" t="inlineStr">
        <is>
          <t>офсетная</t>
        </is>
      </c>
      <c r="AG966" s="1" t="n">
        <v>11498970</v>
      </c>
      <c r="AI966" s="1" t="inlineStr">
        <is>
          <t>4901990000</t>
        </is>
      </c>
    </row>
    <row r="967" customFormat="1" s="1">
      <c r="C967" s="1" t="inlineStr">
        <is>
          <t xml:space="preserve">11679850            </t>
        </is>
      </c>
      <c r="D967" s="1" t="inlineStr">
        <is>
          <t>Сеанс&amp;Рипол</t>
        </is>
      </c>
      <c r="E967" s="1" t="inlineStr">
        <is>
          <t>Феллини. Сост. Степанов В.</t>
        </is>
      </c>
      <c r="F967" s="13" t="inlineStr">
        <is>
          <t>См.обл.</t>
        </is>
      </c>
      <c r="G967" s="1" t="inlineStr">
        <is>
          <t>Сост. Степанов В.</t>
        </is>
      </c>
      <c r="H967" s="1" t="inlineStr">
        <is>
          <t>70х90/16</t>
        </is>
      </c>
      <c r="I967" s="1" t="n">
        <v>304</v>
      </c>
      <c r="J967" s="1" t="inlineStr">
        <is>
          <t>РИПОЛ Классик</t>
        </is>
      </c>
      <c r="M967" s="1" t="inlineStr">
        <is>
          <t>2025</t>
        </is>
      </c>
      <c r="N967" s="1" t="inlineStr">
        <is>
          <t>П</t>
        </is>
      </c>
      <c r="O967" s="9" t="n">
        <v>6</v>
      </c>
      <c r="P967" s="1">
        <f>ROUNDUP(2090*(1-$F$3),2)</f>
        <v/>
      </c>
      <c r="Q967" s="1" t="inlineStr">
        <is>
          <t> </t>
        </is>
      </c>
      <c r="R967" s="1" t="inlineStr">
        <is>
          <t>978-5-386-15392-2</t>
        </is>
      </c>
      <c r="S967" s="1" t="inlineStr">
        <is>
          <t>9785386153922</t>
        </is>
      </c>
      <c r="T967" s="9" t="n">
        <v>22</v>
      </c>
      <c r="U967" s="1">
        <f>ROUNDUP(1713.11*(1-$F$3),2)</f>
        <v/>
      </c>
      <c r="V967" s="1" t="n">
        <v>747</v>
      </c>
      <c r="Y967" s="1" t="inlineStr">
        <is>
          <t>Феллини</t>
        </is>
      </c>
      <c r="Z967" s="1" t="inlineStr">
        <is>
          <t>18+</t>
        </is>
      </c>
      <c r="AA967" s="12" t="n">
        <v>45753</v>
      </c>
      <c r="AB967" s="1" t="inlineStr">
        <is>
          <t>Искусство</t>
        </is>
      </c>
      <c r="AC967" s="1" t="inlineStr">
        <is>
          <t>Музыка и зрелищные искусства</t>
        </is>
      </c>
      <c r="AD967" s="1" t="inlineStr">
        <is>
          <t>Кино. Мультипликация</t>
        </is>
      </c>
      <c r="AE967" s="1" t="inlineStr">
        <is>
          <t>мелованная</t>
        </is>
      </c>
      <c r="AG967" s="1" t="n">
        <v>11679850</v>
      </c>
      <c r="AI967" s="1" t="inlineStr">
        <is>
          <t>4901990000</t>
        </is>
      </c>
      <c r="AJ967" s="1" t="inlineStr">
        <is>
          <t>Зпв</t>
        </is>
      </c>
    </row>
    <row r="968" customFormat="1" s="1">
      <c r="C968" s="1" t="inlineStr">
        <is>
          <t xml:space="preserve">11679640            </t>
        </is>
      </c>
      <c r="D968" s="1" t="inlineStr">
        <is>
          <t>Сеанс&amp;Рипол</t>
        </is>
      </c>
      <c r="E968" s="1" t="inlineStr">
        <is>
          <t>Хичкок. Сост. Степанов В.</t>
        </is>
      </c>
      <c r="F968" s="13" t="inlineStr">
        <is>
          <t>См.обл.</t>
        </is>
      </c>
      <c r="G968" s="1" t="inlineStr">
        <is>
          <t>Сост. Степанов В.</t>
        </is>
      </c>
      <c r="H968" s="1" t="inlineStr">
        <is>
          <t>70х90/16</t>
        </is>
      </c>
      <c r="I968" s="1" t="n">
        <v>208</v>
      </c>
      <c r="J968" s="1" t="inlineStr">
        <is>
          <t>РИПОЛ Классик</t>
        </is>
      </c>
      <c r="M968" s="1" t="inlineStr">
        <is>
          <t>2026</t>
        </is>
      </c>
      <c r="N968" s="1" t="inlineStr">
        <is>
          <t>П</t>
        </is>
      </c>
      <c r="O968" s="9" t="n">
        <v>8</v>
      </c>
      <c r="P968" s="1">
        <f>ROUNDUP(1520*(1-$F$3),2)</f>
        <v/>
      </c>
      <c r="Q968" s="1" t="inlineStr">
        <is>
          <t> </t>
        </is>
      </c>
      <c r="R968" s="1" t="inlineStr">
        <is>
          <t>978-5-386-15391-5</t>
        </is>
      </c>
      <c r="S968" s="1" t="inlineStr">
        <is>
          <t>9785386153915</t>
        </is>
      </c>
      <c r="T968" s="9" t="n">
        <v>10</v>
      </c>
      <c r="U968" s="1">
        <f>ROUNDUP(1381.82*(1-$F$3),2)</f>
        <v/>
      </c>
      <c r="V968" s="1" t="n">
        <v>557</v>
      </c>
      <c r="Y968" s="1" t="inlineStr">
        <is>
          <t>Хичкок</t>
        </is>
      </c>
      <c r="Z968" s="1" t="inlineStr">
        <is>
          <t>12+</t>
        </is>
      </c>
      <c r="AA968" s="12" t="n">
        <v>45753</v>
      </c>
      <c r="AB968" s="1" t="inlineStr">
        <is>
          <t>Искусство</t>
        </is>
      </c>
      <c r="AC968" s="1" t="inlineStr">
        <is>
          <t>Музыка и зрелищные искусства</t>
        </is>
      </c>
      <c r="AD968" s="1" t="inlineStr">
        <is>
          <t>Кино. Мультипликация</t>
        </is>
      </c>
      <c r="AE968" s="1" t="inlineStr">
        <is>
          <t>мелованная</t>
        </is>
      </c>
      <c r="AG968" s="1" t="n">
        <v>11679640</v>
      </c>
      <c r="AI968" s="1" t="inlineStr">
        <is>
          <t>4901990000</t>
        </is>
      </c>
    </row>
    <row r="969" customFormat="1" s="1">
      <c r="C969" s="1" t="inlineStr">
        <is>
          <t xml:space="preserve">11498740            </t>
        </is>
      </c>
      <c r="D969" s="1" t="inlineStr">
        <is>
          <t>Секретные дневники Улисса Мура</t>
        </is>
      </c>
      <c r="E969" s="1" t="inlineStr">
        <is>
          <t>В жерле вулкана. Кн. 11. Улисс Мур</t>
        </is>
      </c>
      <c r="F969" s="13" t="inlineStr">
        <is>
          <t>См.обл.</t>
        </is>
      </c>
      <c r="G969" s="1" t="inlineStr">
        <is>
          <t>Улисс Мур</t>
        </is>
      </c>
      <c r="H969" s="1" t="inlineStr">
        <is>
          <t>60х90/16</t>
        </is>
      </c>
      <c r="I969" s="1" t="n">
        <v>304</v>
      </c>
      <c r="J969" s="1" t="inlineStr">
        <is>
          <t>РИПОЛ Классик</t>
        </is>
      </c>
      <c r="M969" s="1" t="inlineStr">
        <is>
          <t>2024</t>
        </is>
      </c>
      <c r="N969" s="1" t="inlineStr">
        <is>
          <t>П</t>
        </is>
      </c>
      <c r="O969" s="9" t="n">
        <v>12</v>
      </c>
      <c r="P969" s="1">
        <f>ROUNDUP(1410*(1-$F$3),2)</f>
        <v/>
      </c>
      <c r="Q969" s="1" t="inlineStr">
        <is>
          <t> </t>
        </is>
      </c>
      <c r="R969" s="1" t="inlineStr">
        <is>
          <t>978-5-386-15331-1</t>
        </is>
      </c>
      <c r="S969" s="1" t="inlineStr">
        <is>
          <t>9785386153311</t>
        </is>
      </c>
      <c r="T969" s="9" t="n">
        <v>10</v>
      </c>
      <c r="U969" s="1">
        <f>ROUNDUP(1281.82*(1-$F$3),2)</f>
        <v/>
      </c>
      <c r="V969" s="1" t="n">
        <v>477</v>
      </c>
      <c r="Y969" s="1" t="inlineStr">
        <is>
          <t>В жерле вулкана. Кн. 11</t>
        </is>
      </c>
      <c r="Z969" s="1" t="inlineStr">
        <is>
          <t>12+</t>
        </is>
      </c>
      <c r="AA969" s="12" t="n">
        <v>45583</v>
      </c>
      <c r="AB969" s="1" t="inlineStr">
        <is>
          <t>Детская литература</t>
        </is>
      </c>
      <c r="AC969" s="1" t="inlineStr">
        <is>
          <t>Художественная литература</t>
        </is>
      </c>
      <c r="AD969" s="1" t="inlineStr">
        <is>
          <t>Фантастика. Фэнтэзи. Ужастик</t>
        </is>
      </c>
      <c r="AE969" s="1" t="inlineStr">
        <is>
          <t>офсетная</t>
        </is>
      </c>
      <c r="AG969" s="1" t="n">
        <v>11498740</v>
      </c>
      <c r="AI969" s="1" t="inlineStr">
        <is>
          <t>4901990000</t>
        </is>
      </c>
    </row>
    <row r="970" customFormat="1" s="1">
      <c r="C970" s="1" t="inlineStr">
        <is>
          <t xml:space="preserve">11498750            </t>
        </is>
      </c>
      <c r="D970" s="1" t="inlineStr">
        <is>
          <t>Секретные дневники Улисса Мура</t>
        </is>
      </c>
      <c r="E970" s="1" t="inlineStr">
        <is>
          <t>Властелин молний. Кн. 8. Улисс Мур</t>
        </is>
      </c>
      <c r="F970" s="13" t="inlineStr">
        <is>
          <t>См.обл.</t>
        </is>
      </c>
      <c r="G970" s="1" t="inlineStr">
        <is>
          <t>Улисс Мур</t>
        </is>
      </c>
      <c r="H970" s="1" t="inlineStr">
        <is>
          <t>60х90/16</t>
        </is>
      </c>
      <c r="I970" s="1" t="n">
        <v>256</v>
      </c>
      <c r="J970" s="1" t="inlineStr">
        <is>
          <t>РИПОЛ Классик</t>
        </is>
      </c>
      <c r="M970" s="1" t="inlineStr">
        <is>
          <t>2024</t>
        </is>
      </c>
      <c r="N970" s="1" t="inlineStr">
        <is>
          <t>П</t>
        </is>
      </c>
      <c r="O970" s="9" t="n">
        <v>12</v>
      </c>
      <c r="P970" s="1">
        <f>ROUNDUP(1290*(1-$F$3),2)</f>
        <v/>
      </c>
      <c r="Q970" s="1" t="inlineStr">
        <is>
          <t> </t>
        </is>
      </c>
      <c r="R970" s="1" t="inlineStr">
        <is>
          <t>978-5-386-15327-4</t>
        </is>
      </c>
      <c r="S970" s="1" t="inlineStr">
        <is>
          <t>9785386153274</t>
        </is>
      </c>
      <c r="T970" s="9" t="n">
        <v>10</v>
      </c>
      <c r="U970" s="1">
        <f>ROUNDUP(1172.73*(1-$F$3),2)</f>
        <v/>
      </c>
      <c r="V970" s="1" t="n">
        <v>421</v>
      </c>
      <c r="Y970" s="1" t="inlineStr">
        <is>
          <t>Властелин молний. Кн. 8</t>
        </is>
      </c>
      <c r="Z970" s="1" t="inlineStr">
        <is>
          <t>12+</t>
        </is>
      </c>
      <c r="AA970" s="12" t="n">
        <v>45582</v>
      </c>
      <c r="AB970" s="1" t="inlineStr">
        <is>
          <t>Детская литература</t>
        </is>
      </c>
      <c r="AC970" s="1" t="inlineStr">
        <is>
          <t>Художественная литература</t>
        </is>
      </c>
      <c r="AD970" s="1" t="inlineStr">
        <is>
          <t>Фантастика. Фэнтэзи. Ужастик</t>
        </is>
      </c>
      <c r="AE970" s="1" t="inlineStr">
        <is>
          <t>офсетная</t>
        </is>
      </c>
      <c r="AG970" s="1" t="n">
        <v>11498750</v>
      </c>
      <c r="AI970" s="1" t="inlineStr">
        <is>
          <t>4901990000</t>
        </is>
      </c>
    </row>
    <row r="971" customFormat="1" s="1">
      <c r="C971" s="1" t="inlineStr">
        <is>
          <t xml:space="preserve">11468080            </t>
        </is>
      </c>
      <c r="D971" s="1" t="inlineStr">
        <is>
          <t>Секретные дневники Улисса Мура</t>
        </is>
      </c>
      <c r="E971" s="1" t="inlineStr">
        <is>
          <t>Дом зеркал. Кн. 3. Улисс Мур</t>
        </is>
      </c>
      <c r="F971" s="13" t="inlineStr">
        <is>
          <t>См.обл.</t>
        </is>
      </c>
      <c r="G971" s="1" t="inlineStr">
        <is>
          <t>Улисс Мур</t>
        </is>
      </c>
      <c r="H971" s="1" t="inlineStr">
        <is>
          <t>60х90/16</t>
        </is>
      </c>
      <c r="I971" s="1" t="n">
        <v>254</v>
      </c>
      <c r="J971" s="1" t="inlineStr">
        <is>
          <t>РИПОЛ Классик</t>
        </is>
      </c>
      <c r="M971" s="1" t="inlineStr">
        <is>
          <t>2024</t>
        </is>
      </c>
      <c r="N971" s="1" t="inlineStr">
        <is>
          <t>П</t>
        </is>
      </c>
      <c r="O971" s="9" t="n">
        <v>12</v>
      </c>
      <c r="P971" s="1">
        <f>ROUNDUP(935*(1-$F$3),2)</f>
        <v/>
      </c>
      <c r="Q971" s="1" t="inlineStr">
        <is>
          <t> </t>
        </is>
      </c>
      <c r="R971" s="1" t="inlineStr">
        <is>
          <t>978-5-386-15305-2</t>
        </is>
      </c>
      <c r="S971" s="1" t="inlineStr">
        <is>
          <t>9785386153052</t>
        </is>
      </c>
      <c r="T971" s="9" t="n">
        <v>10</v>
      </c>
      <c r="U971" s="1">
        <f>ROUNDUP(850*(1-$F$3),2)</f>
        <v/>
      </c>
      <c r="V971" s="1" t="n">
        <v>419</v>
      </c>
      <c r="Y971" s="1" t="inlineStr">
        <is>
          <t>Дом зеркал. Кн. 3</t>
        </is>
      </c>
      <c r="Z971" s="1" t="inlineStr">
        <is>
          <t>12+</t>
        </is>
      </c>
      <c r="AA971" s="12" t="n">
        <v>45559</v>
      </c>
      <c r="AB971" s="1" t="inlineStr">
        <is>
          <t>Детская литература</t>
        </is>
      </c>
      <c r="AC971" s="1" t="inlineStr">
        <is>
          <t>Художественная литература</t>
        </is>
      </c>
      <c r="AD971" s="1" t="inlineStr">
        <is>
          <t>Фантастика. Фэнтэзи. Ужастик</t>
        </is>
      </c>
      <c r="AE971" s="1" t="inlineStr">
        <is>
          <t>офсетная</t>
        </is>
      </c>
      <c r="AG971" s="1" t="n">
        <v>11468080</v>
      </c>
      <c r="AI971" s="1" t="inlineStr">
        <is>
          <t>4901990000</t>
        </is>
      </c>
    </row>
    <row r="972" customFormat="1" s="1">
      <c r="C972" s="1" t="inlineStr">
        <is>
          <t xml:space="preserve">11496590            </t>
        </is>
      </c>
      <c r="D972" s="1" t="inlineStr">
        <is>
          <t>Секретные дневники Улисса Мура</t>
        </is>
      </c>
      <c r="E972" s="1" t="inlineStr">
        <is>
          <t>Затерянный город. Кн. 7. Улисс Мур</t>
        </is>
      </c>
      <c r="F972" s="13" t="inlineStr">
        <is>
          <t>См.обл.</t>
        </is>
      </c>
      <c r="G972" s="1" t="inlineStr">
        <is>
          <t>Улисс Мур</t>
        </is>
      </c>
      <c r="H972" s="1" t="inlineStr">
        <is>
          <t>60х90/16</t>
        </is>
      </c>
      <c r="I972" s="1" t="n">
        <v>304</v>
      </c>
      <c r="J972" s="1" t="inlineStr">
        <is>
          <t>РИПОЛ Классик</t>
        </is>
      </c>
      <c r="M972" s="1" t="inlineStr">
        <is>
          <t>2024</t>
        </is>
      </c>
      <c r="N972" s="1" t="inlineStr">
        <is>
          <t>П</t>
        </is>
      </c>
      <c r="O972" s="9" t="n">
        <v>12</v>
      </c>
      <c r="P972" s="1">
        <f>ROUNDUP(1400*(1-$F$3),2)</f>
        <v/>
      </c>
      <c r="Q972" s="1" t="inlineStr">
        <is>
          <t> </t>
        </is>
      </c>
      <c r="R972" s="1" t="inlineStr">
        <is>
          <t>978-5-386-15326-7</t>
        </is>
      </c>
      <c r="S972" s="1" t="inlineStr">
        <is>
          <t>9785386153267</t>
        </is>
      </c>
      <c r="T972" s="9" t="n">
        <v>10</v>
      </c>
      <c r="U972" s="1">
        <f>ROUNDUP(1272.73*(1-$F$3),2)</f>
        <v/>
      </c>
      <c r="V972" s="1" t="n">
        <v>494</v>
      </c>
      <c r="Y972" s="1" t="inlineStr">
        <is>
          <t>Затерянный город. Кн. 7</t>
        </is>
      </c>
      <c r="Z972" s="1" t="inlineStr">
        <is>
          <t>12+</t>
        </is>
      </c>
      <c r="AA972" s="12" t="n">
        <v>45574</v>
      </c>
      <c r="AB972" s="1" t="inlineStr">
        <is>
          <t>Детская литература</t>
        </is>
      </c>
      <c r="AC972" s="1" t="inlineStr">
        <is>
          <t>Художественная литература</t>
        </is>
      </c>
      <c r="AD972" s="1" t="inlineStr">
        <is>
          <t>Фантастика. Фэнтэзи. Ужастик</t>
        </is>
      </c>
      <c r="AE972" s="1" t="inlineStr">
        <is>
          <t>офсетная</t>
        </is>
      </c>
      <c r="AG972" s="1" t="n">
        <v>11496590</v>
      </c>
      <c r="AI972" s="1" t="inlineStr">
        <is>
          <t>4901990000</t>
        </is>
      </c>
    </row>
    <row r="973" customFormat="1" s="1">
      <c r="C973" s="1" t="inlineStr">
        <is>
          <t xml:space="preserve">8206070             </t>
        </is>
      </c>
      <c r="D973" s="1" t="inlineStr">
        <is>
          <t>Секретные дневники Улисса Мура</t>
        </is>
      </c>
      <c r="E973" s="1" t="inlineStr">
        <is>
          <t>Клуб путешественников - фантазеров. Кн. 12. Улисс Мур</t>
        </is>
      </c>
      <c r="F973" s="13" t="inlineStr">
        <is>
          <t>См.обл.</t>
        </is>
      </c>
      <c r="G973" s="1" t="inlineStr">
        <is>
          <t>Улисс Мур</t>
        </is>
      </c>
      <c r="H973" s="1" t="inlineStr">
        <is>
          <t>60х90/16</t>
        </is>
      </c>
      <c r="I973" s="1" t="n">
        <v>320</v>
      </c>
      <c r="J973" s="1" t="inlineStr">
        <is>
          <t>РИПОЛ Классик</t>
        </is>
      </c>
      <c r="M973" s="1" t="inlineStr">
        <is>
          <t>2017</t>
        </is>
      </c>
      <c r="N973" s="1" t="inlineStr">
        <is>
          <t>П</t>
        </is>
      </c>
      <c r="O973" s="9" t="n">
        <v>12</v>
      </c>
      <c r="P973" s="1">
        <f>ROUNDUP(1222.1*(1-$F$3),2)</f>
        <v/>
      </c>
      <c r="Q973" s="1" t="inlineStr">
        <is>
          <t> </t>
        </is>
      </c>
      <c r="R973" s="1" t="inlineStr">
        <is>
          <t>978-5-386-10154-1</t>
        </is>
      </c>
      <c r="S973" s="1" t="inlineStr">
        <is>
          <t>9785386101541</t>
        </is>
      </c>
      <c r="T973" s="9" t="n">
        <v>10</v>
      </c>
      <c r="U973" s="1">
        <f>ROUNDUP(1111*(1-$F$3),2)</f>
        <v/>
      </c>
      <c r="V973" s="1" t="n">
        <v>518</v>
      </c>
      <c r="Y973" s="1" t="inlineStr">
        <is>
          <t>Клуб путешественников - фантазеров. Кн. 12</t>
        </is>
      </c>
      <c r="Z973" s="1" t="inlineStr">
        <is>
          <t>12+</t>
        </is>
      </c>
      <c r="AA973" s="12" t="n">
        <v>42961</v>
      </c>
      <c r="AB973" s="1" t="inlineStr">
        <is>
          <t>Детская литература</t>
        </is>
      </c>
      <c r="AC973" s="1" t="inlineStr">
        <is>
          <t>Художественная литература</t>
        </is>
      </c>
      <c r="AD973" s="1" t="inlineStr">
        <is>
          <t>Фантастика. Фэнтэзи. Ужастик</t>
        </is>
      </c>
      <c r="AE973" s="1" t="inlineStr">
        <is>
          <t>офсетная</t>
        </is>
      </c>
      <c r="AG973" s="1" t="n">
        <v>8206070</v>
      </c>
      <c r="AI973" s="1" t="inlineStr">
        <is>
          <t>4901990000</t>
        </is>
      </c>
    </row>
    <row r="974" customFormat="1" s="1">
      <c r="C974" s="1" t="inlineStr">
        <is>
          <t xml:space="preserve">11496610            </t>
        </is>
      </c>
      <c r="D974" s="1" t="inlineStr">
        <is>
          <t>Секретные дневники Улисса Мура</t>
        </is>
      </c>
      <c r="E974" s="1" t="inlineStr">
        <is>
          <t>Клуб путешественников-фантазеров. Кн. 12. Улисс Мур</t>
        </is>
      </c>
      <c r="F974" s="13" t="inlineStr">
        <is>
          <t>См.обл.</t>
        </is>
      </c>
      <c r="G974" s="1" t="inlineStr">
        <is>
          <t>Улисс Мур</t>
        </is>
      </c>
      <c r="H974" s="1" t="inlineStr">
        <is>
          <t>60х90/16</t>
        </is>
      </c>
      <c r="I974" s="1" t="n">
        <v>320</v>
      </c>
      <c r="J974" s="1" t="inlineStr">
        <is>
          <t>РИПОЛ Классик</t>
        </is>
      </c>
      <c r="M974" s="1" t="inlineStr">
        <is>
          <t>2024</t>
        </is>
      </c>
      <c r="N974" s="1" t="inlineStr">
        <is>
          <t>П</t>
        </is>
      </c>
      <c r="O974" s="9" t="n">
        <v>10</v>
      </c>
      <c r="P974" s="1">
        <f>ROUNDUP(1400*(1-$F$3),2)</f>
        <v/>
      </c>
      <c r="Q974" s="1" t="inlineStr">
        <is>
          <t> </t>
        </is>
      </c>
      <c r="R974" s="1" t="inlineStr">
        <is>
          <t>978-5-386-15332-8</t>
        </is>
      </c>
      <c r="S974" s="1" t="inlineStr">
        <is>
          <t>9785386153328</t>
        </is>
      </c>
      <c r="T974" s="9" t="n">
        <v>10</v>
      </c>
      <c r="U974" s="1">
        <f>ROUNDUP(1272.73*(1-$F$3),2)</f>
        <v/>
      </c>
      <c r="V974" s="1" t="n">
        <v>516</v>
      </c>
      <c r="Y974" s="1" t="inlineStr">
        <is>
          <t>Клуб путешественников-фантазеров. Кн. 12</t>
        </is>
      </c>
      <c r="Z974" s="1" t="inlineStr">
        <is>
          <t>12+</t>
        </is>
      </c>
      <c r="AA974" s="12" t="n">
        <v>45574</v>
      </c>
      <c r="AB974" s="1" t="inlineStr">
        <is>
          <t>Детская литература</t>
        </is>
      </c>
      <c r="AC974" s="1" t="inlineStr">
        <is>
          <t>Художественная литература</t>
        </is>
      </c>
      <c r="AD974" s="1" t="inlineStr">
        <is>
          <t>Фантастика. Фэнтэзи. Ужастик</t>
        </is>
      </c>
      <c r="AE974" s="1" t="inlineStr">
        <is>
          <t>офсетная</t>
        </is>
      </c>
      <c r="AG974" s="1" t="n">
        <v>11496610</v>
      </c>
      <c r="AI974" s="1" t="inlineStr">
        <is>
          <t>4901990000</t>
        </is>
      </c>
    </row>
    <row r="975" customFormat="1" s="1">
      <c r="C975" s="1" t="inlineStr">
        <is>
          <t xml:space="preserve">11496600            </t>
        </is>
      </c>
      <c r="D975" s="1" t="inlineStr">
        <is>
          <t>Секретные дневники Улисса Мура</t>
        </is>
      </c>
      <c r="E975" s="1" t="inlineStr">
        <is>
          <t>Лабиринт теней. Кн. 9. Улисс Мур</t>
        </is>
      </c>
      <c r="F975" s="13" t="inlineStr">
        <is>
          <t>См.обл.</t>
        </is>
      </c>
      <c r="G975" s="1" t="inlineStr">
        <is>
          <t>Улисс Мур</t>
        </is>
      </c>
      <c r="H975" s="1" t="inlineStr">
        <is>
          <t>60х90/16</t>
        </is>
      </c>
      <c r="I975" s="1" t="n">
        <v>336</v>
      </c>
      <c r="J975" s="1" t="inlineStr">
        <is>
          <t>РИПОЛ Классик</t>
        </is>
      </c>
      <c r="M975" s="1" t="inlineStr">
        <is>
          <t>2024</t>
        </is>
      </c>
      <c r="N975" s="1" t="inlineStr">
        <is>
          <t>П</t>
        </is>
      </c>
      <c r="O975" s="9" t="n">
        <v>10</v>
      </c>
      <c r="P975" s="1">
        <f>ROUNDUP(1400*(1-$F$3),2)</f>
        <v/>
      </c>
      <c r="Q975" s="1" t="inlineStr">
        <is>
          <t> </t>
        </is>
      </c>
      <c r="R975" s="1" t="inlineStr">
        <is>
          <t>978-5-386-15329-8</t>
        </is>
      </c>
      <c r="S975" s="1" t="inlineStr">
        <is>
          <t>9785386153298</t>
        </is>
      </c>
      <c r="T975" s="9" t="n">
        <v>10</v>
      </c>
      <c r="U975" s="1">
        <f>ROUNDUP(1272.73*(1-$F$3),2)</f>
        <v/>
      </c>
      <c r="V975" s="1" t="n">
        <v>539</v>
      </c>
      <c r="Y975" s="1" t="inlineStr">
        <is>
          <t>Лабиринт теней. Кн. 9</t>
        </is>
      </c>
      <c r="Z975" s="1" t="inlineStr">
        <is>
          <t>12+</t>
        </is>
      </c>
      <c r="AA975" s="12" t="n">
        <v>45574</v>
      </c>
      <c r="AB975" s="1" t="inlineStr">
        <is>
          <t>Детская литература</t>
        </is>
      </c>
      <c r="AC975" s="1" t="inlineStr">
        <is>
          <t>Художественная литература</t>
        </is>
      </c>
      <c r="AD975" s="1" t="inlineStr">
        <is>
          <t>Фантастика. Фэнтэзи. Ужастик</t>
        </is>
      </c>
      <c r="AE975" s="1" t="inlineStr">
        <is>
          <t>офсетная</t>
        </is>
      </c>
      <c r="AG975" s="1" t="n">
        <v>11496600</v>
      </c>
      <c r="AI975" s="1" t="inlineStr">
        <is>
          <t>4901990000</t>
        </is>
      </c>
    </row>
    <row r="976" customFormat="1" s="1">
      <c r="C976" s="1" t="inlineStr">
        <is>
          <t xml:space="preserve">11468020            </t>
        </is>
      </c>
      <c r="D976" s="1" t="inlineStr">
        <is>
          <t>Секретные дневники Улисса Мура</t>
        </is>
      </c>
      <c r="E976" s="1" t="inlineStr">
        <is>
          <t>Лавка забытых карт. Кн. 2. Улисс Мур</t>
        </is>
      </c>
      <c r="F976" s="13" t="inlineStr">
        <is>
          <t>См.обл.</t>
        </is>
      </c>
      <c r="G976" s="1" t="inlineStr">
        <is>
          <t>Улисс Мур</t>
        </is>
      </c>
      <c r="H976" s="1" t="inlineStr">
        <is>
          <t>60х90/16</t>
        </is>
      </c>
      <c r="I976" s="1" t="n">
        <v>240</v>
      </c>
      <c r="J976" s="1" t="inlineStr">
        <is>
          <t>РИПОЛ Классик</t>
        </is>
      </c>
      <c r="M976" s="1" t="inlineStr">
        <is>
          <t>2024</t>
        </is>
      </c>
      <c r="N976" s="1" t="inlineStr">
        <is>
          <t>П</t>
        </is>
      </c>
      <c r="O976" s="9" t="n">
        <v>10</v>
      </c>
      <c r="P976" s="1">
        <f>ROUNDUP(1000*(1-$F$3),2)</f>
        <v/>
      </c>
      <c r="Q976" s="1" t="inlineStr">
        <is>
          <t> </t>
        </is>
      </c>
      <c r="R976" s="1" t="inlineStr">
        <is>
          <t>978-5-386-15304-5</t>
        </is>
      </c>
      <c r="S976" s="1" t="inlineStr">
        <is>
          <t>9785386153045</t>
        </is>
      </c>
      <c r="T976" s="9" t="n">
        <v>10</v>
      </c>
      <c r="U976" s="1">
        <f>ROUNDUP(909.09*(1-$F$3),2)</f>
        <v/>
      </c>
      <c r="V976" s="1" t="n">
        <v>403</v>
      </c>
      <c r="Y976" s="1" t="inlineStr">
        <is>
          <t>Лавка забытых карт. Кн. 2</t>
        </is>
      </c>
      <c r="Z976" s="1" t="inlineStr">
        <is>
          <t>12+</t>
        </is>
      </c>
      <c r="AA976" s="12" t="n">
        <v>45559</v>
      </c>
      <c r="AB976" s="1" t="inlineStr">
        <is>
          <t>Детская литература</t>
        </is>
      </c>
      <c r="AC976" s="1" t="inlineStr">
        <is>
          <t>Художественная литература</t>
        </is>
      </c>
      <c r="AD976" s="1" t="inlineStr">
        <is>
          <t>Фантастика. Фэнтэзи. Ужастик</t>
        </is>
      </c>
      <c r="AE976" s="1" t="inlineStr">
        <is>
          <t>офсетная</t>
        </is>
      </c>
      <c r="AG976" s="1" t="n">
        <v>11468020</v>
      </c>
      <c r="AI976" s="1" t="inlineStr">
        <is>
          <t>4901990000</t>
        </is>
      </c>
    </row>
    <row r="977" customFormat="1" s="1">
      <c r="C977" s="1" t="inlineStr">
        <is>
          <t xml:space="preserve">11498710            </t>
        </is>
      </c>
      <c r="D977" s="1" t="inlineStr">
        <is>
          <t>Секретные дневники Улисса Мура</t>
        </is>
      </c>
      <c r="E977" s="1" t="inlineStr">
        <is>
          <t>Ледяная страна. Кн. 10. Улисс Мур</t>
        </is>
      </c>
      <c r="F977" s="13" t="inlineStr">
        <is>
          <t>См.обл.</t>
        </is>
      </c>
      <c r="G977" s="1" t="inlineStr">
        <is>
          <t>Улисс Мур</t>
        </is>
      </c>
      <c r="H977" s="1" t="inlineStr">
        <is>
          <t>60х90/16</t>
        </is>
      </c>
      <c r="I977" s="1" t="n">
        <v>304</v>
      </c>
      <c r="J977" s="1" t="inlineStr">
        <is>
          <t>РИПОЛ Классик</t>
        </is>
      </c>
      <c r="M977" s="1" t="inlineStr">
        <is>
          <t>2024</t>
        </is>
      </c>
      <c r="N977" s="1" t="inlineStr">
        <is>
          <t>П</t>
        </is>
      </c>
      <c r="O977" s="9" t="n">
        <v>12</v>
      </c>
      <c r="P977" s="1">
        <f>ROUNDUP(1410*(1-$F$3),2)</f>
        <v/>
      </c>
      <c r="Q977" s="1" t="inlineStr">
        <is>
          <t> </t>
        </is>
      </c>
      <c r="R977" s="1" t="inlineStr">
        <is>
          <t>978-5-386-15330-4</t>
        </is>
      </c>
      <c r="S977" s="1" t="inlineStr">
        <is>
          <t>9785386153304</t>
        </is>
      </c>
      <c r="T977" s="9" t="n">
        <v>10</v>
      </c>
      <c r="U977" s="1">
        <f>ROUNDUP(1281.82*(1-$F$3),2)</f>
        <v/>
      </c>
      <c r="V977" s="1" t="n">
        <v>476</v>
      </c>
      <c r="Y977" s="1" t="inlineStr">
        <is>
          <t>Ледяная страна. Кн. 10</t>
        </is>
      </c>
      <c r="Z977" s="1" t="inlineStr">
        <is>
          <t>12+</t>
        </is>
      </c>
      <c r="AA977" s="12" t="n">
        <v>45583</v>
      </c>
      <c r="AB977" s="1" t="inlineStr">
        <is>
          <t>Детская литература</t>
        </is>
      </c>
      <c r="AC977" s="1" t="inlineStr">
        <is>
          <t>Художественная литература</t>
        </is>
      </c>
      <c r="AD977" s="1" t="inlineStr">
        <is>
          <t>Фантастика. Фэнтэзи. Ужастик</t>
        </is>
      </c>
      <c r="AE977" s="1" t="inlineStr">
        <is>
          <t>офсетная</t>
        </is>
      </c>
      <c r="AG977" s="1" t="n">
        <v>11498710</v>
      </c>
      <c r="AI977" s="1" t="inlineStr">
        <is>
          <t>4901990000</t>
        </is>
      </c>
    </row>
    <row r="978" customFormat="1" s="1">
      <c r="C978" s="1" t="inlineStr">
        <is>
          <t xml:space="preserve">11468030            </t>
        </is>
      </c>
      <c r="D978" s="1" t="inlineStr">
        <is>
          <t>Секретные дневники Улисса Мура</t>
        </is>
      </c>
      <c r="E978" s="1" t="inlineStr">
        <is>
          <t>Остров масок. Кн. 4. Улисс Мур</t>
        </is>
      </c>
      <c r="F978" s="13" t="inlineStr">
        <is>
          <t>См.обл.</t>
        </is>
      </c>
      <c r="G978" s="1" t="inlineStr">
        <is>
          <t>Улисс Мур</t>
        </is>
      </c>
      <c r="H978" s="1" t="inlineStr">
        <is>
          <t>60х90/16</t>
        </is>
      </c>
      <c r="I978" s="1" t="n">
        <v>286</v>
      </c>
      <c r="J978" s="1" t="inlineStr">
        <is>
          <t>РИПОЛ Классик</t>
        </is>
      </c>
      <c r="M978" s="1" t="inlineStr">
        <is>
          <t>2024</t>
        </is>
      </c>
      <c r="N978" s="1" t="inlineStr">
        <is>
          <t>П</t>
        </is>
      </c>
      <c r="O978" s="9" t="n">
        <v>10</v>
      </c>
      <c r="P978" s="1">
        <f>ROUNDUP(1050*(1-$F$3),2)</f>
        <v/>
      </c>
      <c r="Q978" s="1" t="inlineStr">
        <is>
          <t> </t>
        </is>
      </c>
      <c r="R978" s="1" t="inlineStr">
        <is>
          <t>978-5-386-15306-9</t>
        </is>
      </c>
      <c r="S978" s="1" t="inlineStr">
        <is>
          <t>9785386153069</t>
        </is>
      </c>
      <c r="T978" s="9" t="n">
        <v>10</v>
      </c>
      <c r="U978" s="1">
        <f>ROUNDUP(954.55*(1-$F$3),2)</f>
        <v/>
      </c>
      <c r="V978" s="1" t="n">
        <v>457</v>
      </c>
      <c r="Y978" s="1" t="inlineStr">
        <is>
          <t>Остров масок. Кн. 4</t>
        </is>
      </c>
      <c r="Z978" s="1" t="inlineStr">
        <is>
          <t>0 +</t>
        </is>
      </c>
      <c r="AA978" s="12" t="n">
        <v>45559</v>
      </c>
      <c r="AB978" s="1" t="inlineStr">
        <is>
          <t>Детская литература</t>
        </is>
      </c>
      <c r="AC978" s="1" t="inlineStr">
        <is>
          <t>Художественная литература</t>
        </is>
      </c>
      <c r="AD978" s="1" t="inlineStr">
        <is>
          <t>Фантастика. Фэнтэзи. Ужастик</t>
        </is>
      </c>
      <c r="AE978" s="1" t="inlineStr">
        <is>
          <t>офсетная</t>
        </is>
      </c>
      <c r="AG978" s="1" t="n">
        <v>11468030</v>
      </c>
      <c r="AI978" s="1" t="inlineStr">
        <is>
          <t>4901990000</t>
        </is>
      </c>
    </row>
    <row r="979" customFormat="1" s="1">
      <c r="C979" s="1" t="inlineStr">
        <is>
          <t xml:space="preserve">9868400             </t>
        </is>
      </c>
      <c r="D979" s="1" t="inlineStr">
        <is>
          <t>Секретные материалы</t>
        </is>
      </c>
      <c r="E979" s="1" t="inlineStr">
        <is>
          <t>Избранный выжить. Эйнхорн Е.</t>
        </is>
      </c>
      <c r="F979" s="13" t="inlineStr">
        <is>
          <t>См.обл.</t>
        </is>
      </c>
      <c r="G979" s="1" t="inlineStr">
        <is>
          <t>Эйнхорн Е.</t>
        </is>
      </c>
      <c r="H979" s="1" t="inlineStr">
        <is>
          <t>60х90/16</t>
        </is>
      </c>
      <c r="I979" s="1" t="n">
        <v>480</v>
      </c>
      <c r="J979" s="1" t="inlineStr">
        <is>
          <t>РИПОЛ Классик</t>
        </is>
      </c>
      <c r="M979" s="1" t="inlineStr">
        <is>
          <t>2026</t>
        </is>
      </c>
      <c r="N979" s="1" t="inlineStr">
        <is>
          <t>П</t>
        </is>
      </c>
      <c r="O979" s="9" t="n">
        <v>6</v>
      </c>
      <c r="P979" s="1">
        <f>ROUNDUP(1390*(1-$F$3),2)</f>
        <v/>
      </c>
      <c r="Q979" s="1" t="inlineStr">
        <is>
          <t> </t>
        </is>
      </c>
      <c r="R979" s="1" t="inlineStr">
        <is>
          <t>978-5-386-14456-2</t>
        </is>
      </c>
      <c r="S979" s="1" t="inlineStr">
        <is>
          <t>9785386144562</t>
        </is>
      </c>
      <c r="T979" s="9" t="n">
        <v>10</v>
      </c>
      <c r="U979" s="1">
        <f>ROUNDUP(1263.64*(1-$F$3),2)</f>
        <v/>
      </c>
      <c r="V979" s="1" t="n">
        <v>669</v>
      </c>
      <c r="Y979" s="1" t="inlineStr">
        <is>
          <t>Избранный выжить</t>
        </is>
      </c>
      <c r="Z979" s="1" t="inlineStr">
        <is>
          <t>18+</t>
        </is>
      </c>
      <c r="AA979" s="12" t="n">
        <v>44507</v>
      </c>
      <c r="AB979" s="1" t="inlineStr">
        <is>
          <t>Художественная литература</t>
        </is>
      </c>
      <c r="AC979" s="1" t="inlineStr">
        <is>
          <t>Зарубежная литература</t>
        </is>
      </c>
      <c r="AD979" s="1" t="inlineStr">
        <is>
          <t>Европейская литература</t>
        </is>
      </c>
      <c r="AE979" s="1" t="inlineStr">
        <is>
          <t>офсетная</t>
        </is>
      </c>
      <c r="AG979" s="1" t="n">
        <v>9868400</v>
      </c>
      <c r="AI979" s="1" t="inlineStr">
        <is>
          <t>4901990000</t>
        </is>
      </c>
      <c r="AJ979" s="1" t="inlineStr">
        <is>
          <t>Зпв</t>
        </is>
      </c>
    </row>
    <row r="980" customFormat="1" s="1">
      <c r="C980" s="1" t="inlineStr">
        <is>
          <t xml:space="preserve">10830950            </t>
        </is>
      </c>
      <c r="D980" s="1" t="inlineStr">
        <is>
          <t>Секретные материалы</t>
        </is>
      </c>
      <c r="E980" s="1" t="inlineStr">
        <is>
          <t>На веки вечные. Роман-хроника времен Нюрнбергского процесса (кинообложка). Звягинцев А.Г.</t>
        </is>
      </c>
      <c r="F980" s="13" t="inlineStr">
        <is>
          <t>См.обл.</t>
        </is>
      </c>
      <c r="G980" s="1" t="inlineStr">
        <is>
          <t>Звягинцев А.Г.</t>
        </is>
      </c>
      <c r="H980" s="1" t="inlineStr">
        <is>
          <t>60х90/16</t>
        </is>
      </c>
      <c r="I980" s="1" t="n">
        <v>420</v>
      </c>
      <c r="J980" s="1" t="inlineStr">
        <is>
          <t>РИПОЛ Классик</t>
        </is>
      </c>
      <c r="M980" s="1" t="inlineStr">
        <is>
          <t>2025</t>
        </is>
      </c>
      <c r="N980" s="1" t="inlineStr">
        <is>
          <t>П</t>
        </is>
      </c>
      <c r="O980" s="9" t="n">
        <v>4</v>
      </c>
      <c r="P980" s="1">
        <f>ROUNDUP(1570*(1-$F$3),2)</f>
        <v/>
      </c>
      <c r="Q980" s="1" t="inlineStr">
        <is>
          <t> </t>
        </is>
      </c>
      <c r="R980" s="1" t="inlineStr">
        <is>
          <t>978-5-386-14990-1</t>
        </is>
      </c>
      <c r="S980" s="1" t="inlineStr">
        <is>
          <t>9785386149901</t>
        </is>
      </c>
      <c r="T980" s="9" t="n">
        <v>10</v>
      </c>
      <c r="U980" s="1">
        <f>ROUNDUP(1427.27*(1-$F$3),2)</f>
        <v/>
      </c>
      <c r="V980" s="1" t="n">
        <v>422</v>
      </c>
      <c r="Y980" s="1" t="inlineStr">
        <is>
          <t>На веки вечные. Роман-хроника времен Нюрнбергского процесса (кинообложка)</t>
        </is>
      </c>
      <c r="Z980" s="1" t="inlineStr">
        <is>
          <t>16+</t>
        </is>
      </c>
      <c r="AA980" s="12" t="n">
        <v>44978</v>
      </c>
      <c r="AB980" s="1" t="inlineStr">
        <is>
          <t>Художественная литература</t>
        </is>
      </c>
      <c r="AC980" s="1" t="inlineStr">
        <is>
          <t>Историческая проза</t>
        </is>
      </c>
      <c r="AD980" s="1" t="inlineStr">
        <is>
          <t>Русская историческая проза</t>
        </is>
      </c>
      <c r="AE980" s="1" t="inlineStr">
        <is>
          <t>офсетная</t>
        </is>
      </c>
      <c r="AG980" s="1" t="n">
        <v>10830950</v>
      </c>
      <c r="AI980" s="1" t="inlineStr">
        <is>
          <t>4901990000</t>
        </is>
      </c>
    </row>
    <row r="981" customFormat="1" s="1">
      <c r="C981" s="1" t="inlineStr">
        <is>
          <t xml:space="preserve">10765760            </t>
        </is>
      </c>
      <c r="D981" s="1" t="inlineStr">
        <is>
          <t>Секретные материалы</t>
        </is>
      </c>
      <c r="E981" s="1" t="inlineStr">
        <is>
          <t>На веки вечные. Роман-хроника времен Нюрнбергского процесса. Звягинцев А.Г.</t>
        </is>
      </c>
      <c r="F981" s="13" t="inlineStr">
        <is>
          <t>См.обл.</t>
        </is>
      </c>
      <c r="G981" s="1" t="inlineStr">
        <is>
          <t>Звягинцев А.Г.</t>
        </is>
      </c>
      <c r="H981" s="1" t="inlineStr">
        <is>
          <t>60х90/16</t>
        </is>
      </c>
      <c r="I981" s="1" t="n">
        <v>420</v>
      </c>
      <c r="J981" s="1" t="inlineStr">
        <is>
          <t>РИПОЛ Классик</t>
        </is>
      </c>
      <c r="M981" s="1" t="inlineStr">
        <is>
          <t>2027</t>
        </is>
      </c>
      <c r="N981" s="1" t="inlineStr">
        <is>
          <t>П</t>
        </is>
      </c>
      <c r="O981" s="9" t="n">
        <v>6</v>
      </c>
      <c r="P981" s="1">
        <f>ROUNDUP(1610*(1-$F$3),2)</f>
        <v/>
      </c>
      <c r="Q981" s="1" t="inlineStr">
        <is>
          <t> </t>
        </is>
      </c>
      <c r="R981" s="1" t="inlineStr">
        <is>
          <t>978-5-386-14957-4</t>
        </is>
      </c>
      <c r="S981" s="1" t="inlineStr">
        <is>
          <t>9785386149574</t>
        </is>
      </c>
      <c r="T981" s="9" t="n">
        <v>10</v>
      </c>
      <c r="U981" s="1">
        <f>ROUNDUP(1463.64*(1-$F$3),2)</f>
        <v/>
      </c>
      <c r="V981" s="1" t="n">
        <v>532</v>
      </c>
      <c r="Y981" s="1" t="inlineStr">
        <is>
          <t>На веки вечные. Роман-хроника времен Нюрнбергского процесса</t>
        </is>
      </c>
      <c r="Z981" s="1" t="inlineStr">
        <is>
          <t>16+</t>
        </is>
      </c>
      <c r="AA981" s="12" t="n">
        <v>44967</v>
      </c>
      <c r="AB981" s="1" t="inlineStr">
        <is>
          <t>Художественная литература</t>
        </is>
      </c>
      <c r="AC981" s="1" t="inlineStr">
        <is>
          <t>Историческая проза</t>
        </is>
      </c>
      <c r="AD981" s="1" t="inlineStr">
        <is>
          <t>Русская историческая проза</t>
        </is>
      </c>
      <c r="AE981" s="1" t="inlineStr">
        <is>
          <t>офсетная</t>
        </is>
      </c>
      <c r="AG981" s="1" t="n">
        <v>10765760</v>
      </c>
      <c r="AI981" s="1" t="inlineStr">
        <is>
          <t>4901990000</t>
        </is>
      </c>
    </row>
    <row r="982" customFormat="1" s="1">
      <c r="C982" s="1" t="inlineStr">
        <is>
          <t xml:space="preserve">10485050            </t>
        </is>
      </c>
      <c r="D982" s="1" t="inlineStr">
        <is>
          <t>Секретные материалы</t>
        </is>
      </c>
      <c r="E982" s="1" t="inlineStr">
        <is>
          <t>Нюрнбергский процесс. Звягинцев А.Г.</t>
        </is>
      </c>
      <c r="F982" s="13" t="inlineStr">
        <is>
          <t>См.обл.</t>
        </is>
      </c>
      <c r="G982" s="1" t="inlineStr">
        <is>
          <t>Звягинцев А.Г.</t>
        </is>
      </c>
      <c r="H982" s="1" t="inlineStr">
        <is>
          <t>60х90/16</t>
        </is>
      </c>
      <c r="I982" s="1" t="n">
        <v>160</v>
      </c>
      <c r="J982" s="1" t="inlineStr">
        <is>
          <t>РИПОЛ Классик</t>
        </is>
      </c>
      <c r="M982" s="1" t="inlineStr">
        <is>
          <t>2026</t>
        </is>
      </c>
      <c r="N982" s="1" t="inlineStr">
        <is>
          <t>П</t>
        </is>
      </c>
      <c r="O982" s="9" t="n">
        <v>10</v>
      </c>
      <c r="P982" s="1">
        <f>ROUNDUP(950*(1-$F$3),2)</f>
        <v/>
      </c>
      <c r="Q982" s="1" t="inlineStr">
        <is>
          <t> </t>
        </is>
      </c>
      <c r="R982" s="1" t="inlineStr">
        <is>
          <t>978-5-386-14708-2</t>
        </is>
      </c>
      <c r="S982" s="1" t="inlineStr">
        <is>
          <t>9785386147082</t>
        </is>
      </c>
      <c r="T982" s="9" t="n">
        <v>10</v>
      </c>
      <c r="U982" s="1">
        <f>ROUNDUP(863.64*(1-$F$3),2)</f>
        <v/>
      </c>
      <c r="V982" s="1" t="n">
        <v>297</v>
      </c>
      <c r="Y982" s="1" t="inlineStr">
        <is>
          <t>Нюрнбергский процесс</t>
        </is>
      </c>
      <c r="Z982" s="1" t="inlineStr">
        <is>
          <t>12+</t>
        </is>
      </c>
      <c r="AA982" s="12" t="n">
        <v>44718</v>
      </c>
      <c r="AB982" s="1" t="inlineStr">
        <is>
          <t>Общественные науки</t>
        </is>
      </c>
      <c r="AC982" s="1" t="inlineStr">
        <is>
          <t>Военное дело. Гражданская защита</t>
        </is>
      </c>
      <c r="AD982" s="1" t="inlineStr">
        <is>
          <t>Военная история. История военных операций. Мемуары военачальников</t>
        </is>
      </c>
      <c r="AE982" s="1" t="inlineStr">
        <is>
          <t>офсетная</t>
        </is>
      </c>
      <c r="AG982" s="1" t="n">
        <v>10485050</v>
      </c>
      <c r="AI982" s="1" t="inlineStr">
        <is>
          <t>4901990000</t>
        </is>
      </c>
    </row>
    <row r="983" customFormat="1" s="1">
      <c r="C983" s="1" t="inlineStr">
        <is>
          <t xml:space="preserve">9769190             </t>
        </is>
      </c>
      <c r="D983" s="1" t="inlineStr">
        <is>
          <t>Секретные материалы</t>
        </is>
      </c>
      <c r="E983" s="1" t="inlineStr">
        <is>
          <t>Палачи ада. Уроки Хабаровского процесса. Звягинцев А.Г.</t>
        </is>
      </c>
      <c r="F983" s="13" t="inlineStr">
        <is>
          <t>См.обл.</t>
        </is>
      </c>
      <c r="G983" s="1" t="inlineStr">
        <is>
          <t>Звягинцев А.Г.</t>
        </is>
      </c>
      <c r="H983" s="1" t="inlineStr">
        <is>
          <t>60х90/16</t>
        </is>
      </c>
      <c r="I983" s="1" t="n">
        <v>400</v>
      </c>
      <c r="J983" s="1" t="inlineStr">
        <is>
          <t>РИПОЛ Классик</t>
        </is>
      </c>
      <c r="M983" s="1" t="inlineStr">
        <is>
          <t>2027</t>
        </is>
      </c>
      <c r="N983" s="1" t="inlineStr">
        <is>
          <t>П</t>
        </is>
      </c>
      <c r="O983" s="9" t="n">
        <v>10</v>
      </c>
      <c r="P983" s="1">
        <f>ROUNDUP(1569.5*(1-$F$3),2)</f>
        <v/>
      </c>
      <c r="Q983" s="1" t="inlineStr">
        <is>
          <t> </t>
        </is>
      </c>
      <c r="R983" s="1" t="inlineStr">
        <is>
          <t>978-5-386-14332-9</t>
        </is>
      </c>
      <c r="S983" s="1" t="inlineStr">
        <is>
          <t>9785386143329</t>
        </is>
      </c>
      <c r="T983" s="9" t="n">
        <v>10</v>
      </c>
      <c r="U983" s="1">
        <f>ROUNDUP(1426.82*(1-$F$3),2)</f>
        <v/>
      </c>
      <c r="V983" s="1" t="n">
        <v>521</v>
      </c>
      <c r="Y983" s="1" t="inlineStr">
        <is>
          <t>Палачи ада. Уроки Хабаровского процесса</t>
        </is>
      </c>
      <c r="Z983" s="1" t="inlineStr">
        <is>
          <t>16+</t>
        </is>
      </c>
      <c r="AA983" s="12" t="n">
        <v>44383</v>
      </c>
      <c r="AB983" s="1" t="inlineStr">
        <is>
          <t>Общественные науки</t>
        </is>
      </c>
      <c r="AC983" s="1" t="inlineStr">
        <is>
          <t>Военное дело. Гражданская защита</t>
        </is>
      </c>
      <c r="AD983" s="1" t="inlineStr">
        <is>
          <t>Военная история. История военных операций. Мемуары военачальников</t>
        </is>
      </c>
      <c r="AE983" s="1" t="inlineStr">
        <is>
          <t>офсетная</t>
        </is>
      </c>
      <c r="AG983" s="1" t="n">
        <v>9769190</v>
      </c>
      <c r="AI983" s="1" t="inlineStr">
        <is>
          <t>4901990000</t>
        </is>
      </c>
      <c r="AJ983" s="1" t="inlineStr">
        <is>
          <t>Зпв</t>
        </is>
      </c>
    </row>
    <row r="984" customFormat="1" s="1">
      <c r="C984" s="1" t="inlineStr">
        <is>
          <t xml:space="preserve">9862210             </t>
        </is>
      </c>
      <c r="D984" s="1" t="inlineStr">
        <is>
          <t>Секретные материалы</t>
        </is>
      </c>
      <c r="E984" s="1" t="inlineStr">
        <is>
          <t>Тайны закрытых городов. Кутепова Н.</t>
        </is>
      </c>
      <c r="F984" s="13" t="inlineStr">
        <is>
          <t>См.обл.</t>
        </is>
      </c>
      <c r="G984" s="1" t="inlineStr">
        <is>
          <t>Кутепова Н.</t>
        </is>
      </c>
      <c r="H984" s="1" t="inlineStr">
        <is>
          <t>84х108/32</t>
        </is>
      </c>
      <c r="I984" s="1" t="n">
        <v>480</v>
      </c>
      <c r="J984" s="1" t="inlineStr">
        <is>
          <t>РИПОЛ Классик</t>
        </is>
      </c>
      <c r="M984" s="1" t="inlineStr">
        <is>
          <t>2021</t>
        </is>
      </c>
      <c r="N984" s="1" t="inlineStr">
        <is>
          <t>П</t>
        </is>
      </c>
      <c r="O984" s="9" t="n">
        <v>8</v>
      </c>
      <c r="P984" s="1">
        <f>ROUNDUP(1390*(1-$F$3),2)</f>
        <v/>
      </c>
      <c r="Q984" s="1" t="inlineStr">
        <is>
          <t> </t>
        </is>
      </c>
      <c r="R984" s="1" t="inlineStr">
        <is>
          <t>978-5-386-14469-2</t>
        </is>
      </c>
      <c r="S984" s="1" t="inlineStr">
        <is>
          <t>9785386144692</t>
        </is>
      </c>
      <c r="T984" s="9" t="n">
        <v>10</v>
      </c>
      <c r="U984" s="1">
        <f>ROUNDUP(1263.64*(1-$F$3),2)</f>
        <v/>
      </c>
      <c r="V984" s="1" t="n">
        <v>488</v>
      </c>
      <c r="Y984" s="1" t="inlineStr">
        <is>
          <t>Тайны закрытых городов</t>
        </is>
      </c>
      <c r="Z984" s="1" t="inlineStr">
        <is>
          <t>16+</t>
        </is>
      </c>
      <c r="AA984" s="12" t="n">
        <v>44507</v>
      </c>
      <c r="AB984" s="1" t="inlineStr">
        <is>
          <t>Естественные науки. Математика</t>
        </is>
      </c>
      <c r="AC984" s="1" t="inlineStr">
        <is>
          <t>Науки о Земле</t>
        </is>
      </c>
      <c r="AD984" s="1" t="inlineStr">
        <is>
          <t>Страноведение. Краеведение</t>
        </is>
      </c>
      <c r="AE984" s="1" t="inlineStr">
        <is>
          <t>офсетная</t>
        </is>
      </c>
      <c r="AG984" s="1" t="n">
        <v>9862210</v>
      </c>
      <c r="AI984" s="1" t="inlineStr">
        <is>
          <t>4901990000</t>
        </is>
      </c>
    </row>
    <row r="985" customFormat="1" s="1">
      <c r="C985" s="1" t="inlineStr">
        <is>
          <t xml:space="preserve">11163690            </t>
        </is>
      </c>
      <c r="D985" s="1" t="inlineStr">
        <is>
          <t>Секреты профессии</t>
        </is>
      </c>
      <c r="E985" s="1" t="inlineStr">
        <is>
          <t>Свой почерк в режиссуре. Алеников В.М.</t>
        </is>
      </c>
      <c r="F985" s="13" t="inlineStr">
        <is>
          <t>См.обл.</t>
        </is>
      </c>
      <c r="G985" s="1" t="inlineStr">
        <is>
          <t>Алеников В.М.</t>
        </is>
      </c>
      <c r="H985" s="1" t="inlineStr">
        <is>
          <t>60х90/16</t>
        </is>
      </c>
      <c r="I985" s="1" t="n">
        <v>432</v>
      </c>
      <c r="J985" s="1" t="inlineStr">
        <is>
          <t>РИПОЛ Классик</t>
        </is>
      </c>
      <c r="M985" s="1" t="inlineStr">
        <is>
          <t>2025</t>
        </is>
      </c>
      <c r="N985" s="1" t="inlineStr">
        <is>
          <t>П</t>
        </is>
      </c>
      <c r="O985" s="9" t="n">
        <v>8</v>
      </c>
      <c r="P985" s="1">
        <f>ROUNDUP(1210*(1-$F$3),2)</f>
        <v/>
      </c>
      <c r="Q985" s="1" t="inlineStr">
        <is>
          <t> </t>
        </is>
      </c>
      <c r="R985" s="1" t="inlineStr">
        <is>
          <t>978-5-386-15143-0</t>
        </is>
      </c>
      <c r="S985" s="1" t="inlineStr">
        <is>
          <t>9785386151430</t>
        </is>
      </c>
      <c r="T985" s="9" t="n">
        <v>10</v>
      </c>
      <c r="U985" s="1">
        <f>ROUNDUP(1100*(1-$F$3),2)</f>
        <v/>
      </c>
      <c r="V985" s="1" t="n">
        <v>513</v>
      </c>
      <c r="Y985" s="1" t="inlineStr">
        <is>
          <t>Свой почерк в режиссуре</t>
        </is>
      </c>
      <c r="Z985" s="1" t="inlineStr">
        <is>
          <t>12+</t>
        </is>
      </c>
      <c r="AA985" s="12" t="n">
        <v>45265</v>
      </c>
      <c r="AB985" s="1" t="inlineStr">
        <is>
          <t>Искусство</t>
        </is>
      </c>
      <c r="AC985" s="1" t="inlineStr">
        <is>
          <t>Музыка и зрелищные искусства</t>
        </is>
      </c>
      <c r="AD985" s="1" t="inlineStr">
        <is>
          <t>Кино. Мультипликация</t>
        </is>
      </c>
      <c r="AE985" s="1" t="inlineStr">
        <is>
          <t>офсетная</t>
        </is>
      </c>
      <c r="AG985" s="1" t="n">
        <v>11163690</v>
      </c>
      <c r="AI985" s="1" t="inlineStr">
        <is>
          <t>4901990000</t>
        </is>
      </c>
    </row>
    <row r="986" customFormat="1" s="1">
      <c r="C986" s="1" t="inlineStr">
        <is>
          <t xml:space="preserve">10544240            </t>
        </is>
      </c>
      <c r="D986" s="1" t="inlineStr">
        <is>
          <t>Секреты счастливой жизни</t>
        </is>
      </c>
      <c r="E986" s="1" t="inlineStr">
        <is>
          <t>99 советов о счастливой жизни. Рой О.Ю.</t>
        </is>
      </c>
      <c r="F986" s="13" t="inlineStr">
        <is>
          <t>См.обл.</t>
        </is>
      </c>
      <c r="G986" s="1" t="inlineStr">
        <is>
          <t>Рой О.Ю.</t>
        </is>
      </c>
      <c r="H986" s="1" t="inlineStr">
        <is>
          <t>60х90/16</t>
        </is>
      </c>
      <c r="I986" s="1" t="n">
        <v>256</v>
      </c>
      <c r="J986" s="1" t="inlineStr">
        <is>
          <t>РИПОЛ Классик</t>
        </is>
      </c>
      <c r="M986" s="1" t="inlineStr">
        <is>
          <t>2022</t>
        </is>
      </c>
      <c r="N986" s="1" t="inlineStr">
        <is>
          <t>П</t>
        </is>
      </c>
      <c r="O986" s="9" t="n">
        <v>14</v>
      </c>
      <c r="P986" s="1">
        <f>ROUNDUP(970*(1-$F$3),2)</f>
        <v/>
      </c>
      <c r="Q986" s="1" t="inlineStr">
        <is>
          <t> </t>
        </is>
      </c>
      <c r="R986" s="1" t="inlineStr">
        <is>
          <t>978-5-386-14876-8</t>
        </is>
      </c>
      <c r="S986" s="1" t="inlineStr">
        <is>
          <t>9785386148768</t>
        </is>
      </c>
      <c r="T986" s="9" t="n">
        <v>10</v>
      </c>
      <c r="U986" s="1">
        <f>ROUNDUP(881.82*(1-$F$3),2)</f>
        <v/>
      </c>
      <c r="V986" s="1" t="n">
        <v>339</v>
      </c>
      <c r="Y986" s="1" t="inlineStr">
        <is>
          <t>99 советов о счастливой жизни</t>
        </is>
      </c>
      <c r="Z986" s="1" t="inlineStr">
        <is>
          <t>16+</t>
        </is>
      </c>
      <c r="AA986" s="12" t="n">
        <v>44834</v>
      </c>
      <c r="AB986" s="1" t="inlineStr">
        <is>
          <t>Гуманитарные науки</t>
        </is>
      </c>
      <c r="AC986" s="1" t="inlineStr">
        <is>
          <t>Психология</t>
        </is>
      </c>
      <c r="AD986" s="1" t="inlineStr">
        <is>
          <t>Популярная психология</t>
        </is>
      </c>
      <c r="AE986" s="1" t="inlineStr">
        <is>
          <t>газетная</t>
        </is>
      </c>
      <c r="AG986" s="1" t="n">
        <v>10544240</v>
      </c>
      <c r="AI986" s="1" t="inlineStr">
        <is>
          <t>4901990000</t>
        </is>
      </c>
    </row>
    <row r="987" customFormat="1" s="1">
      <c r="C987" s="1" t="inlineStr">
        <is>
          <t xml:space="preserve">10043460            </t>
        </is>
      </c>
      <c r="D987" s="1" t="inlineStr">
        <is>
          <t>Секреты счастливой жизни</t>
        </is>
      </c>
      <c r="E987" s="1" t="inlineStr">
        <is>
          <t>Женщинам о мужчинах. Рой О.Ю.</t>
        </is>
      </c>
      <c r="F987" s="13" t="inlineStr">
        <is>
          <t>См.обл.</t>
        </is>
      </c>
      <c r="G987" s="1" t="inlineStr">
        <is>
          <t>Рой О.Ю.</t>
        </is>
      </c>
      <c r="H987" s="1" t="inlineStr">
        <is>
          <t>60х90/16</t>
        </is>
      </c>
      <c r="I987" s="1" t="n">
        <v>192</v>
      </c>
      <c r="J987" s="1" t="inlineStr">
        <is>
          <t>РИПОЛ Классик</t>
        </is>
      </c>
      <c r="M987" s="1" t="inlineStr">
        <is>
          <t>2023</t>
        </is>
      </c>
      <c r="N987" s="1" t="inlineStr">
        <is>
          <t>П</t>
        </is>
      </c>
      <c r="O987" s="9" t="n">
        <v>16</v>
      </c>
      <c r="P987" s="1">
        <f>ROUNDUP(1110*(1-$F$3),2)</f>
        <v/>
      </c>
      <c r="Q987" s="1" t="inlineStr">
        <is>
          <t> </t>
        </is>
      </c>
      <c r="R987" s="1" t="inlineStr">
        <is>
          <t>978-5-386-14582-8</t>
        </is>
      </c>
      <c r="S987" s="1" t="inlineStr">
        <is>
          <t>9785386145828</t>
        </is>
      </c>
      <c r="T987" s="9" t="n">
        <v>10</v>
      </c>
      <c r="U987" s="1">
        <f>ROUNDUP(1009.09*(1-$F$3),2)</f>
        <v/>
      </c>
      <c r="V987" s="1" t="n">
        <v>342</v>
      </c>
      <c r="Y987" s="1" t="inlineStr">
        <is>
          <t>Женщинам о мужчинах</t>
        </is>
      </c>
      <c r="Z987" s="1" t="inlineStr">
        <is>
          <t>16+</t>
        </is>
      </c>
      <c r="AA987" s="12" t="n">
        <v>44511</v>
      </c>
      <c r="AB987" s="1" t="inlineStr">
        <is>
          <t>Гуманитарные науки</t>
        </is>
      </c>
      <c r="AC987" s="1" t="inlineStr">
        <is>
          <t>Психология</t>
        </is>
      </c>
      <c r="AD987" s="1" t="inlineStr">
        <is>
          <t>Социальная психология. Психология отношений. Коммуникации</t>
        </is>
      </c>
      <c r="AE987" s="1" t="inlineStr">
        <is>
          <t>газетная</t>
        </is>
      </c>
      <c r="AG987" s="1" t="n">
        <v>10043460</v>
      </c>
      <c r="AI987" s="1" t="inlineStr">
        <is>
          <t>4901990000</t>
        </is>
      </c>
    </row>
    <row r="988" customFormat="1" s="1">
      <c r="C988" s="1" t="inlineStr">
        <is>
          <t xml:space="preserve">11159450            </t>
        </is>
      </c>
      <c r="D988" s="1" t="inlineStr">
        <is>
          <t>Секреты счастливой жизни</t>
        </is>
      </c>
      <c r="E988" s="1" t="inlineStr">
        <is>
          <t>О любви и не только. Рой О.Ю.</t>
        </is>
      </c>
      <c r="F988" s="13" t="inlineStr">
        <is>
          <t>См.обл.</t>
        </is>
      </c>
      <c r="G988" s="1" t="inlineStr">
        <is>
          <t>Рой О.Ю.</t>
        </is>
      </c>
      <c r="H988" s="1" t="inlineStr">
        <is>
          <t>60х90/16</t>
        </is>
      </c>
      <c r="I988" s="1" t="n">
        <v>512</v>
      </c>
      <c r="J988" s="1" t="inlineStr">
        <is>
          <t>РИПОЛ Классик</t>
        </is>
      </c>
      <c r="M988" s="1" t="inlineStr">
        <is>
          <t>2024</t>
        </is>
      </c>
      <c r="N988" s="1" t="inlineStr">
        <is>
          <t>П</t>
        </is>
      </c>
      <c r="O988" s="9" t="n">
        <v>6</v>
      </c>
      <c r="P988" s="1">
        <f>ROUNDUP(1540*(1-$F$3),2)</f>
        <v/>
      </c>
      <c r="Q988" s="1" t="inlineStr">
        <is>
          <t> </t>
        </is>
      </c>
      <c r="R988" s="1" t="inlineStr">
        <is>
          <t>978-5-386-15148-5</t>
        </is>
      </c>
      <c r="S988" s="1" t="inlineStr">
        <is>
          <t>9785386151485</t>
        </is>
      </c>
      <c r="T988" s="9" t="n">
        <v>10</v>
      </c>
      <c r="U988" s="1">
        <f>ROUNDUP(1400*(1-$F$3),2)</f>
        <v/>
      </c>
      <c r="V988" s="1" t="n">
        <v>438</v>
      </c>
      <c r="Y988" s="1" t="inlineStr">
        <is>
          <t>О любви и не только</t>
        </is>
      </c>
      <c r="Z988" s="1" t="inlineStr">
        <is>
          <t>16+</t>
        </is>
      </c>
      <c r="AA988" s="12" t="n">
        <v>45265</v>
      </c>
      <c r="AB988" s="1" t="inlineStr">
        <is>
          <t>Гуманитарные науки</t>
        </is>
      </c>
      <c r="AC988" s="1" t="inlineStr">
        <is>
          <t>Психология</t>
        </is>
      </c>
      <c r="AD988" s="1" t="inlineStr">
        <is>
          <t>Популярная психология</t>
        </is>
      </c>
      <c r="AE988" s="1" t="inlineStr">
        <is>
          <t>офсетная</t>
        </is>
      </c>
      <c r="AG988" s="1" t="n">
        <v>11159450</v>
      </c>
      <c r="AI988" s="1" t="inlineStr">
        <is>
          <t>4901990000</t>
        </is>
      </c>
    </row>
    <row r="989" customFormat="1" s="11">
      <c r="A989" s="11" t="inlineStr">
        <is>
          <t>нов</t>
        </is>
      </c>
      <c r="C989" s="11" t="inlineStr">
        <is>
          <t xml:space="preserve">12288440            </t>
        </is>
      </c>
      <c r="D989" s="11" t="inlineStr">
        <is>
          <t>Семейный компас</t>
        </is>
      </c>
      <c r="E989" s="11" t="inlineStr">
        <is>
          <t>Вдохновляющее материнство. Опыт родительства известных литературных героев вам в помощь. Шипилова М.</t>
        </is>
      </c>
      <c r="F989" s="14" t="inlineStr">
        <is>
          <t>См.обл.</t>
        </is>
      </c>
      <c r="G989" s="11" t="inlineStr">
        <is>
          <t>Шипилова М.</t>
        </is>
      </c>
      <c r="H989" s="11" t="inlineStr">
        <is>
          <t>60х90/16</t>
        </is>
      </c>
      <c r="I989" s="11" t="n">
        <v>208</v>
      </c>
      <c r="J989" s="11" t="inlineStr">
        <is>
          <t>РИПОЛ Классик</t>
        </is>
      </c>
      <c r="M989" s="11" t="inlineStr">
        <is>
          <t>2027</t>
        </is>
      </c>
      <c r="N989" s="11" t="inlineStr">
        <is>
          <t>П</t>
        </is>
      </c>
      <c r="O989" s="26" t="n">
        <v>14</v>
      </c>
      <c r="P989" s="11">
        <f>ROUNDUP(790*(1-$F$3),2)</f>
        <v/>
      </c>
      <c r="Q989" s="11" t="inlineStr">
        <is>
          <t> </t>
        </is>
      </c>
      <c r="R989" s="11" t="inlineStr">
        <is>
          <t>978-5-386-15748-7</t>
        </is>
      </c>
      <c r="S989" s="11" t="inlineStr">
        <is>
          <t>9785386157487</t>
        </is>
      </c>
      <c r="T989" s="26" t="n">
        <v>10</v>
      </c>
      <c r="U989" s="11">
        <f>ROUNDUP(718.18*(1-$F$3),2)</f>
        <v/>
      </c>
      <c r="V989" s="11" t="n">
        <v>351</v>
      </c>
      <c r="Y989" s="11" t="inlineStr">
        <is>
          <t>Вдохновляющее материнство. Опыт родительства известных литературных героев вам в помощь</t>
        </is>
      </c>
      <c r="Z989" s="11" t="inlineStr">
        <is>
          <t>16+</t>
        </is>
      </c>
      <c r="AA989" s="15" t="n">
        <v>46296</v>
      </c>
      <c r="AB989" s="11" t="inlineStr">
        <is>
          <t>Детская литература</t>
        </is>
      </c>
      <c r="AC989" s="11" t="inlineStr">
        <is>
          <t>Книги для родителей</t>
        </is>
      </c>
      <c r="AD989" s="11" t="inlineStr">
        <is>
          <t>Психология для родителей. Семейное воспитание</t>
        </is>
      </c>
      <c r="AE989" s="11" t="inlineStr">
        <is>
          <t>офсетная</t>
        </is>
      </c>
      <c r="AG989" s="11" t="n">
        <v>12288440</v>
      </c>
      <c r="AI989" s="11" t="inlineStr">
        <is>
          <t>4901990000</t>
        </is>
      </c>
    </row>
    <row r="990" customFormat="1" s="1">
      <c r="C990" s="1" t="inlineStr">
        <is>
          <t xml:space="preserve">11951430            </t>
        </is>
      </c>
      <c r="D990" s="1" t="inlineStr">
        <is>
          <t>Семейный компас</t>
        </is>
      </c>
      <c r="E990" s="1" t="inlineStr">
        <is>
          <t>Семейный текст. Как писать вместе и становиться ближе. Сорокин А.А.</t>
        </is>
      </c>
      <c r="F990" s="13" t="inlineStr">
        <is>
          <t>См.обл.</t>
        </is>
      </c>
      <c r="G990" s="1" t="inlineStr">
        <is>
          <t>Сорокин А.А.</t>
        </is>
      </c>
      <c r="H990" s="1" t="inlineStr">
        <is>
          <t>60х90/16</t>
        </is>
      </c>
      <c r="I990" s="1" t="n">
        <v>336</v>
      </c>
      <c r="J990" s="1" t="inlineStr">
        <is>
          <t>РИПОЛ Классик</t>
        </is>
      </c>
      <c r="M990" s="1" t="inlineStr">
        <is>
          <t>2026</t>
        </is>
      </c>
      <c r="N990" s="1" t="inlineStr">
        <is>
          <t>П</t>
        </is>
      </c>
      <c r="O990" s="9" t="n">
        <v>10</v>
      </c>
      <c r="P990" s="1">
        <f>ROUNDUP(1110*(1-$F$3),2)</f>
        <v/>
      </c>
      <c r="Q990" s="1" t="inlineStr">
        <is>
          <t> </t>
        </is>
      </c>
      <c r="R990" s="1" t="inlineStr">
        <is>
          <t>978-5-386-15541-4</t>
        </is>
      </c>
      <c r="S990" s="1" t="inlineStr">
        <is>
          <t>9785386155414</t>
        </is>
      </c>
      <c r="T990" s="9" t="n">
        <v>10</v>
      </c>
      <c r="U990" s="1">
        <f>ROUNDUP(1009.09*(1-$F$3),2)</f>
        <v/>
      </c>
      <c r="V990" s="1" t="n">
        <v>494</v>
      </c>
      <c r="Y990" s="1" t="inlineStr">
        <is>
          <t>Семейный текст. Как писать вместе и становиться ближе</t>
        </is>
      </c>
      <c r="Z990" s="1" t="inlineStr">
        <is>
          <t>12+</t>
        </is>
      </c>
      <c r="AA990" s="12" t="n">
        <v>45987</v>
      </c>
      <c r="AB990" s="1" t="inlineStr">
        <is>
          <t>Гуманитарные науки</t>
        </is>
      </c>
      <c r="AC990" s="1" t="inlineStr">
        <is>
          <t>Психология</t>
        </is>
      </c>
      <c r="AD990" s="1" t="inlineStr">
        <is>
          <t>Популярная психология</t>
        </is>
      </c>
      <c r="AE990" s="1" t="inlineStr">
        <is>
          <t>офсетная</t>
        </is>
      </c>
      <c r="AG990" s="1" t="n">
        <v>11951430</v>
      </c>
      <c r="AI990" s="1" t="inlineStr">
        <is>
          <t>4901990000</t>
        </is>
      </c>
    </row>
    <row r="991" customFormat="1" s="11">
      <c r="A991" s="11" t="inlineStr">
        <is>
          <t>нов</t>
        </is>
      </c>
      <c r="C991" s="11" t="inlineStr">
        <is>
          <t xml:space="preserve">12248660            </t>
        </is>
      </c>
      <c r="D991" s="11" t="inlineStr">
        <is>
          <t>Семейный компас</t>
        </is>
      </c>
      <c r="E991" s="11" t="inlineStr">
        <is>
          <t>Театр не понарошку. Дегтярева Н., Назарова Л.Г., Кирюшатова Т.Н.</t>
        </is>
      </c>
      <c r="F991" s="14" t="inlineStr">
        <is>
          <t>См.обл.</t>
        </is>
      </c>
      <c r="G991" s="11" t="inlineStr">
        <is>
          <t>Дегтярева Н., Назарова Л.Г., Кирюшатова Т.Н.</t>
        </is>
      </c>
      <c r="H991" s="11" t="inlineStr">
        <is>
          <t>60х90/16</t>
        </is>
      </c>
      <c r="I991" s="11" t="n">
        <v>134</v>
      </c>
      <c r="J991" s="11" t="inlineStr">
        <is>
          <t>РИПОЛ Классик</t>
        </is>
      </c>
      <c r="M991" s="11" t="inlineStr">
        <is>
          <t>2026</t>
        </is>
      </c>
      <c r="N991" s="11" t="inlineStr">
        <is>
          <t>П</t>
        </is>
      </c>
      <c r="O991" s="26" t="n">
        <v>20</v>
      </c>
      <c r="P991" s="11">
        <f>ROUNDUP(690*(1-$F$3),2)</f>
        <v/>
      </c>
      <c r="Q991" s="11" t="inlineStr">
        <is>
          <t> </t>
        </is>
      </c>
      <c r="R991" s="11" t="inlineStr">
        <is>
          <t>978-5-386-15693-0</t>
        </is>
      </c>
      <c r="S991" s="11" t="inlineStr">
        <is>
          <t>9785386156930</t>
        </is>
      </c>
      <c r="T991" s="26" t="n">
        <v>10</v>
      </c>
      <c r="U991" s="11">
        <f>ROUNDUP(627.27*(1-$F$3),2)</f>
        <v/>
      </c>
      <c r="V991" s="11" t="n">
        <v>264</v>
      </c>
      <c r="Y991" s="11" t="inlineStr">
        <is>
          <t>Театр не понарошку</t>
        </is>
      </c>
      <c r="Z991" s="11" t="inlineStr">
        <is>
          <t>16+</t>
        </is>
      </c>
      <c r="AA991" s="15" t="n">
        <v>46261</v>
      </c>
      <c r="AB991" s="11" t="inlineStr">
        <is>
          <t>Детская литература</t>
        </is>
      </c>
      <c r="AC991" s="11" t="inlineStr">
        <is>
          <t>Познавательная литература для детей</t>
        </is>
      </c>
      <c r="AD991" s="11" t="inlineStr">
        <is>
          <t>Культура. Искусство</t>
        </is>
      </c>
      <c r="AE991" s="11" t="inlineStr">
        <is>
          <t>офсетная</t>
        </is>
      </c>
      <c r="AG991" s="11" t="n">
        <v>12248660</v>
      </c>
      <c r="AI991" s="11" t="inlineStr">
        <is>
          <t>4901990000</t>
        </is>
      </c>
    </row>
    <row r="992" customFormat="1" s="1">
      <c r="C992" s="1" t="inlineStr">
        <is>
          <t xml:space="preserve">10889270            </t>
        </is>
      </c>
      <c r="D992" s="1" t="inlineStr">
        <is>
          <t>Семь</t>
        </is>
      </c>
      <c r="E992" s="1" t="inlineStr">
        <is>
          <t>Ловушка для влюбленных. Рой О.Ю.</t>
        </is>
      </c>
      <c r="F992" s="13" t="inlineStr">
        <is>
          <t>См.обл.</t>
        </is>
      </c>
      <c r="G992" s="1" t="inlineStr">
        <is>
          <t>Рой О.Ю.</t>
        </is>
      </c>
      <c r="H992" s="1" t="inlineStr">
        <is>
          <t>60х90/16</t>
        </is>
      </c>
      <c r="I992" s="1" t="n">
        <v>304</v>
      </c>
      <c r="J992" s="1" t="inlineStr">
        <is>
          <t>РИПОЛ Классик</t>
        </is>
      </c>
      <c r="M992" s="1" t="inlineStr">
        <is>
          <t>2023</t>
        </is>
      </c>
      <c r="N992" s="1" t="inlineStr">
        <is>
          <t>П</t>
        </is>
      </c>
      <c r="O992" s="9" t="n">
        <v>14</v>
      </c>
      <c r="P992" s="1">
        <f>ROUNDUP(1340*(1-$F$3),2)</f>
        <v/>
      </c>
      <c r="Q992" s="1" t="inlineStr">
        <is>
          <t> </t>
        </is>
      </c>
      <c r="R992" s="1" t="inlineStr">
        <is>
          <t>978-5-386-15012-9</t>
        </is>
      </c>
      <c r="S992" s="1" t="inlineStr">
        <is>
          <t>9785386150129</t>
        </is>
      </c>
      <c r="T992" s="9" t="n">
        <v>10</v>
      </c>
      <c r="U992" s="1">
        <f>ROUNDUP(1218.18*(1-$F$3),2)</f>
        <v/>
      </c>
      <c r="V992" s="1" t="n">
        <v>471</v>
      </c>
      <c r="Y992" s="1" t="inlineStr">
        <is>
          <t>Ловушка для влюбленных</t>
        </is>
      </c>
      <c r="Z992" s="1" t="inlineStr">
        <is>
          <t>16+</t>
        </is>
      </c>
      <c r="AA992" s="12" t="n">
        <v>45046</v>
      </c>
      <c r="AB992" s="1" t="inlineStr">
        <is>
          <t>Художественная литература</t>
        </is>
      </c>
      <c r="AC992" s="1" t="inlineStr">
        <is>
          <t>Русская литература</t>
        </is>
      </c>
      <c r="AD992" s="1" t="inlineStr">
        <is>
          <t>Современная литература</t>
        </is>
      </c>
      <c r="AE992" s="1" t="inlineStr">
        <is>
          <t>офсетная</t>
        </is>
      </c>
      <c r="AG992" s="1" t="n">
        <v>10889270</v>
      </c>
      <c r="AI992" s="1" t="inlineStr">
        <is>
          <t>4901990000</t>
        </is>
      </c>
      <c r="AJ992" s="1" t="inlineStr">
        <is>
          <t>Зпв</t>
        </is>
      </c>
    </row>
    <row r="993" customFormat="1" s="1">
      <c r="C993" s="1" t="inlineStr">
        <is>
          <t xml:space="preserve">9930390             </t>
        </is>
      </c>
      <c r="D993" s="1" t="inlineStr">
        <is>
          <t>Семь</t>
        </is>
      </c>
      <c r="E993" s="1" t="inlineStr">
        <is>
          <t>Порог. Рой О.Ю.</t>
        </is>
      </c>
      <c r="F993" s="13" t="inlineStr">
        <is>
          <t>См.обл.</t>
        </is>
      </c>
      <c r="G993" s="1" t="inlineStr">
        <is>
          <t>Рой О.Ю.</t>
        </is>
      </c>
      <c r="H993" s="1" t="inlineStr">
        <is>
          <t>60х90/16</t>
        </is>
      </c>
      <c r="I993" s="1" t="n">
        <v>336</v>
      </c>
      <c r="J993" s="1" t="inlineStr">
        <is>
          <t>РИПОЛ Классик</t>
        </is>
      </c>
      <c r="M993" s="1" t="inlineStr">
        <is>
          <t>2022</t>
        </is>
      </c>
      <c r="N993" s="1" t="inlineStr">
        <is>
          <t>П</t>
        </is>
      </c>
      <c r="O993" s="9" t="n">
        <v>12</v>
      </c>
      <c r="P993" s="1">
        <f>ROUNDUP(1230*(1-$F$3),2)</f>
        <v/>
      </c>
      <c r="Q993" s="1" t="inlineStr">
        <is>
          <t> </t>
        </is>
      </c>
      <c r="R993" s="1" t="inlineStr">
        <is>
          <t>978-5-386-14498-2</t>
        </is>
      </c>
      <c r="S993" s="1" t="inlineStr">
        <is>
          <t>9785386144982</t>
        </is>
      </c>
      <c r="T993" s="9" t="n">
        <v>10</v>
      </c>
      <c r="U993" s="1">
        <f>ROUNDUP(1118.18*(1-$F$3),2)</f>
        <v/>
      </c>
      <c r="V993" s="1" t="n">
        <v>431</v>
      </c>
      <c r="Y993" s="1" t="inlineStr">
        <is>
          <t>Порог</t>
        </is>
      </c>
      <c r="Z993" s="1" t="inlineStr">
        <is>
          <t>18+</t>
        </is>
      </c>
      <c r="AA993" s="12" t="n">
        <v>44471</v>
      </c>
      <c r="AB993" s="1" t="inlineStr">
        <is>
          <t>Художественная литература</t>
        </is>
      </c>
      <c r="AC993" s="1" t="inlineStr">
        <is>
          <t>Фантастика. Мистика. Ужасы</t>
        </is>
      </c>
      <c r="AD993" s="1" t="inlineStr">
        <is>
          <t>Мистика. Ужасы</t>
        </is>
      </c>
      <c r="AE993" s="1" t="inlineStr">
        <is>
          <t>офсетная</t>
        </is>
      </c>
      <c r="AG993" s="1" t="n">
        <v>9930390</v>
      </c>
      <c r="AI993" s="1" t="inlineStr">
        <is>
          <t>4901990000</t>
        </is>
      </c>
      <c r="AJ993" s="1" t="inlineStr">
        <is>
          <t>Зпв</t>
        </is>
      </c>
    </row>
    <row r="994" customFormat="1" s="1">
      <c r="C994" s="1" t="inlineStr">
        <is>
          <t xml:space="preserve">11375230            </t>
        </is>
      </c>
      <c r="D994" s="1" t="inlineStr">
        <is>
          <t>Семь</t>
        </is>
      </c>
      <c r="E994" s="1" t="inlineStr">
        <is>
          <t>Семь. Рой О.Ю.</t>
        </is>
      </c>
      <c r="F994" s="13" t="inlineStr">
        <is>
          <t>См.обл.</t>
        </is>
      </c>
      <c r="G994" s="1" t="inlineStr">
        <is>
          <t>Рой О.Ю.</t>
        </is>
      </c>
      <c r="H994" s="1" t="inlineStr">
        <is>
          <t>60х90/16</t>
        </is>
      </c>
      <c r="I994" s="1" t="n">
        <v>448</v>
      </c>
      <c r="J994" s="1" t="inlineStr">
        <is>
          <t>РИПОЛ Классик</t>
        </is>
      </c>
      <c r="M994" s="1" t="inlineStr">
        <is>
          <t>2025</t>
        </is>
      </c>
      <c r="N994" s="1" t="inlineStr">
        <is>
          <t>П</t>
        </is>
      </c>
      <c r="O994" s="9" t="n">
        <v>5</v>
      </c>
      <c r="P994" s="1">
        <f>ROUNDUP(1440*(1-$F$3),2)</f>
        <v/>
      </c>
      <c r="Q994" s="1" t="inlineStr">
        <is>
          <t> </t>
        </is>
      </c>
      <c r="R994" s="1" t="inlineStr">
        <is>
          <t>978-5-386-15228-4</t>
        </is>
      </c>
      <c r="S994" s="1" t="inlineStr">
        <is>
          <t>9785386152284</t>
        </is>
      </c>
      <c r="T994" s="9" t="n">
        <v>10</v>
      </c>
      <c r="U994" s="1">
        <f>ROUNDUP(1309.09*(1-$F$3),2)</f>
        <v/>
      </c>
      <c r="V994" s="1" t="n">
        <v>573</v>
      </c>
      <c r="Y994" s="1" t="inlineStr">
        <is>
          <t>Семь</t>
        </is>
      </c>
      <c r="Z994" s="1" t="inlineStr">
        <is>
          <t>16+</t>
        </is>
      </c>
      <c r="AA994" s="12" t="n">
        <v>45448</v>
      </c>
      <c r="AB994" s="1" t="inlineStr">
        <is>
          <t>Художественная литература</t>
        </is>
      </c>
      <c r="AC994" s="1" t="inlineStr">
        <is>
          <t>Русская литература</t>
        </is>
      </c>
      <c r="AD994" s="1" t="inlineStr">
        <is>
          <t>Современная литература</t>
        </is>
      </c>
      <c r="AE994" s="1" t="inlineStr">
        <is>
          <t>офсетная</t>
        </is>
      </c>
      <c r="AG994" s="1" t="n">
        <v>11375230</v>
      </c>
      <c r="AI994" s="1" t="inlineStr">
        <is>
          <t>4901990000</t>
        </is>
      </c>
      <c r="AJ994" s="1" t="inlineStr">
        <is>
          <t>Зпв</t>
        </is>
      </c>
    </row>
    <row r="995" customFormat="1" s="1">
      <c r="C995" s="1" t="inlineStr">
        <is>
          <t xml:space="preserve">10410890            </t>
        </is>
      </c>
      <c r="D995" s="1" t="inlineStr">
        <is>
          <t>Семь</t>
        </is>
      </c>
      <c r="E995" s="1" t="inlineStr">
        <is>
          <t>Старьевщица: роман. Рой О.Ю.</t>
        </is>
      </c>
      <c r="F995" s="13" t="inlineStr">
        <is>
          <t>См.обл.</t>
        </is>
      </c>
      <c r="G995" s="1" t="inlineStr">
        <is>
          <t>Рой О.Ю.</t>
        </is>
      </c>
      <c r="H995" s="1" t="inlineStr">
        <is>
          <t>60х90/16</t>
        </is>
      </c>
      <c r="I995" s="1" t="n">
        <v>416</v>
      </c>
      <c r="J995" s="1" t="inlineStr">
        <is>
          <t>РИПОЛ Классик</t>
        </is>
      </c>
      <c r="M995" s="1" t="inlineStr">
        <is>
          <t>2023</t>
        </is>
      </c>
      <c r="N995" s="1" t="inlineStr">
        <is>
          <t>П</t>
        </is>
      </c>
      <c r="O995" s="9" t="n">
        <v>10</v>
      </c>
      <c r="P995" s="1">
        <f>ROUNDUP(1400*(1-$F$3),2)</f>
        <v/>
      </c>
      <c r="Q995" s="1" t="inlineStr">
        <is>
          <t> </t>
        </is>
      </c>
      <c r="R995" s="1" t="inlineStr">
        <is>
          <t>978-5-386-14759-4</t>
        </is>
      </c>
      <c r="S995" s="1" t="inlineStr">
        <is>
          <t>9785386147594</t>
        </is>
      </c>
      <c r="T995" s="9" t="n">
        <v>10</v>
      </c>
      <c r="U995" s="1">
        <f>ROUNDUP(1272.73*(1-$F$3),2)</f>
        <v/>
      </c>
      <c r="V995" s="1" t="n">
        <v>605</v>
      </c>
      <c r="Y995" s="1" t="inlineStr">
        <is>
          <t>Старьевщица: роман</t>
        </is>
      </c>
      <c r="Z995" s="1" t="inlineStr">
        <is>
          <t>16+</t>
        </is>
      </c>
      <c r="AA995" s="12" t="n">
        <v>44707</v>
      </c>
      <c r="AB995" s="1" t="inlineStr">
        <is>
          <t>Художественная литература</t>
        </is>
      </c>
      <c r="AC995" s="1" t="inlineStr">
        <is>
          <t>Русская литература</t>
        </is>
      </c>
      <c r="AD995" s="1" t="inlineStr">
        <is>
          <t>Современная литература</t>
        </is>
      </c>
      <c r="AE995" s="1" t="inlineStr">
        <is>
          <t>офсетная</t>
        </is>
      </c>
      <c r="AG995" s="1" t="n">
        <v>10410890</v>
      </c>
      <c r="AI995" s="1" t="inlineStr">
        <is>
          <t>4901990000</t>
        </is>
      </c>
      <c r="AJ995" s="1" t="inlineStr">
        <is>
          <t>Зпв</t>
        </is>
      </c>
    </row>
    <row r="996" customFormat="1" s="1">
      <c r="C996" s="1" t="inlineStr">
        <is>
          <t xml:space="preserve">10560550            </t>
        </is>
      </c>
      <c r="D996" s="1" t="inlineStr">
        <is>
          <t>Семь</t>
        </is>
      </c>
      <c r="E996" s="1" t="inlineStr">
        <is>
          <t>Сюжет. Рой О.Ю.</t>
        </is>
      </c>
      <c r="F996" s="13" t="inlineStr">
        <is>
          <t>См.обл.</t>
        </is>
      </c>
      <c r="G996" s="1" t="inlineStr">
        <is>
          <t>Рой О.Ю.</t>
        </is>
      </c>
      <c r="H996" s="1" t="inlineStr">
        <is>
          <t>60х90/16</t>
        </is>
      </c>
      <c r="I996" s="1" t="n">
        <v>400</v>
      </c>
      <c r="J996" s="1" t="inlineStr">
        <is>
          <t>РИПОЛ Классик</t>
        </is>
      </c>
      <c r="M996" s="1" t="inlineStr">
        <is>
          <t>2022</t>
        </is>
      </c>
      <c r="N996" s="1" t="inlineStr">
        <is>
          <t>П</t>
        </is>
      </c>
      <c r="O996" s="9" t="n">
        <v>10</v>
      </c>
      <c r="P996" s="1">
        <f>ROUNDUP(1340*(1-$F$3),2)</f>
        <v/>
      </c>
      <c r="Q996" s="1" t="inlineStr">
        <is>
          <t> </t>
        </is>
      </c>
      <c r="R996" s="1" t="inlineStr">
        <is>
          <t>978-5-386-14877-5</t>
        </is>
      </c>
      <c r="S996" s="1" t="inlineStr">
        <is>
          <t>9785386148775</t>
        </is>
      </c>
      <c r="T996" s="9" t="n">
        <v>10</v>
      </c>
      <c r="U996" s="1">
        <f>ROUNDUP(1218.18*(1-$F$3),2)</f>
        <v/>
      </c>
      <c r="V996" s="1" t="n">
        <v>585</v>
      </c>
      <c r="Y996" s="1" t="inlineStr">
        <is>
          <t>Сюжет</t>
        </is>
      </c>
      <c r="Z996" s="1" t="inlineStr">
        <is>
          <t>16+</t>
        </is>
      </c>
      <c r="AA996" s="12" t="n">
        <v>44822</v>
      </c>
      <c r="AB996" s="1" t="inlineStr">
        <is>
          <t>Художественная литература</t>
        </is>
      </c>
      <c r="AC996" s="1" t="inlineStr">
        <is>
          <t>Русская литература</t>
        </is>
      </c>
      <c r="AD996" s="1" t="inlineStr">
        <is>
          <t>Современная литература</t>
        </is>
      </c>
      <c r="AE996" s="1" t="inlineStr">
        <is>
          <t>офсетная</t>
        </is>
      </c>
      <c r="AG996" s="1" t="n">
        <v>10560550</v>
      </c>
      <c r="AI996" s="1" t="inlineStr">
        <is>
          <t>4901990000</t>
        </is>
      </c>
    </row>
    <row r="997" customFormat="1" s="1">
      <c r="C997" s="1" t="inlineStr">
        <is>
          <t xml:space="preserve">11951450            </t>
        </is>
      </c>
      <c r="D997" s="1" t="inlineStr">
        <is>
          <t>Сила жизни</t>
        </is>
      </c>
      <c r="E997" s="1" t="inlineStr">
        <is>
          <t>Мама, хорошо, что у тебя рак. Когда рак становится не приговором, а началом настоящей жизни. Быковская С</t>
        </is>
      </c>
      <c r="F997" s="13" t="inlineStr">
        <is>
          <t>См.обл.</t>
        </is>
      </c>
      <c r="G997" s="1" t="inlineStr">
        <is>
          <t>Быковская С</t>
        </is>
      </c>
      <c r="H997" s="1" t="inlineStr">
        <is>
          <t>60х90/16</t>
        </is>
      </c>
      <c r="I997" s="1" t="n">
        <v>304</v>
      </c>
      <c r="J997" s="1" t="inlineStr">
        <is>
          <t>РИПОЛ Классик</t>
        </is>
      </c>
      <c r="M997" s="1" t="inlineStr">
        <is>
          <t>2026</t>
        </is>
      </c>
      <c r="N997" s="1" t="inlineStr">
        <is>
          <t>П</t>
        </is>
      </c>
      <c r="O997" s="9" t="n">
        <v>8</v>
      </c>
      <c r="P997" s="1">
        <f>ROUNDUP(1110*(1-$F$3),2)</f>
        <v/>
      </c>
      <c r="Q997" s="1" t="inlineStr">
        <is>
          <t> </t>
        </is>
      </c>
      <c r="R997" s="1" t="inlineStr">
        <is>
          <t>978-5-386-15556-8</t>
        </is>
      </c>
      <c r="S997" s="1" t="inlineStr">
        <is>
          <t>9785386155568</t>
        </is>
      </c>
      <c r="T997" s="9" t="n">
        <v>10</v>
      </c>
      <c r="U997" s="1">
        <f>ROUNDUP(1009.09*(1-$F$3),2)</f>
        <v/>
      </c>
      <c r="V997" s="1" t="n">
        <v>459</v>
      </c>
      <c r="Y997" s="1" t="inlineStr">
        <is>
          <t>Мама, хорошо, что у тебя рак. Когда рак становится не приговором, а началом настоящей жизни</t>
        </is>
      </c>
      <c r="Z997" s="1" t="inlineStr">
        <is>
          <t>16+</t>
        </is>
      </c>
      <c r="AA997" s="12" t="n">
        <v>45987</v>
      </c>
      <c r="AB997" s="1" t="inlineStr">
        <is>
          <t>Художественная литература</t>
        </is>
      </c>
      <c r="AC997" s="1" t="inlineStr">
        <is>
          <t>Русская литература</t>
        </is>
      </c>
      <c r="AD997" s="1" t="inlineStr">
        <is>
          <t>Современная литература</t>
        </is>
      </c>
      <c r="AE997" s="1" t="inlineStr">
        <is>
          <t>офсетная</t>
        </is>
      </c>
      <c r="AG997" s="1" t="n">
        <v>11951450</v>
      </c>
      <c r="AI997" s="1" t="inlineStr">
        <is>
          <t>4901990000</t>
        </is>
      </c>
    </row>
    <row r="998" customFormat="1" s="1">
      <c r="C998" s="1" t="inlineStr">
        <is>
          <t xml:space="preserve">11027340            </t>
        </is>
      </c>
      <c r="D998" s="1" t="inlineStr">
        <is>
          <t>Система Блаво</t>
        </is>
      </c>
      <c r="E998" s="1" t="inlineStr">
        <is>
          <t>Брак моей мечты. Как построить карьеру жены. Блаво Р.</t>
        </is>
      </c>
      <c r="F998" s="13" t="inlineStr">
        <is>
          <t>См.обл.</t>
        </is>
      </c>
      <c r="G998" s="1" t="inlineStr">
        <is>
          <t>Блаво Р.</t>
        </is>
      </c>
      <c r="H998" s="1" t="inlineStr">
        <is>
          <t>60х90/16</t>
        </is>
      </c>
      <c r="I998" s="1" t="n">
        <v>304</v>
      </c>
      <c r="J998" s="1" t="inlineStr">
        <is>
          <t>РИПОЛ Классик</t>
        </is>
      </c>
      <c r="M998" s="1" t="inlineStr">
        <is>
          <t>2023</t>
        </is>
      </c>
      <c r="N998" s="1" t="inlineStr">
        <is>
          <t>П</t>
        </is>
      </c>
      <c r="O998" s="9" t="n">
        <v>10</v>
      </c>
      <c r="P998" s="1">
        <f>ROUNDUP(1020*(1-$F$3),2)</f>
        <v/>
      </c>
      <c r="Q998" s="1" t="inlineStr">
        <is>
          <t> </t>
        </is>
      </c>
      <c r="R998" s="1" t="inlineStr">
        <is>
          <t>978-5-386-15092-1</t>
        </is>
      </c>
      <c r="S998" s="1" t="inlineStr">
        <is>
          <t>9785386150921</t>
        </is>
      </c>
      <c r="T998" s="9" t="n">
        <v>10</v>
      </c>
      <c r="U998" s="1">
        <f>ROUNDUP(927.27*(1-$F$3),2)</f>
        <v/>
      </c>
      <c r="V998" s="1" t="n">
        <v>401</v>
      </c>
      <c r="Y998" s="1" t="inlineStr">
        <is>
          <t>Брак моей мечты. Как построить карьеру жены</t>
        </is>
      </c>
      <c r="Z998" s="1" t="inlineStr">
        <is>
          <t>16+</t>
        </is>
      </c>
      <c r="AA998" s="12" t="n">
        <v>45167</v>
      </c>
      <c r="AB998" s="1" t="inlineStr">
        <is>
          <t>Гуманитарные науки</t>
        </is>
      </c>
      <c r="AC998" s="1" t="inlineStr">
        <is>
          <t>Психология</t>
        </is>
      </c>
      <c r="AD998" s="1" t="inlineStr">
        <is>
          <t>Социальная психология. Психология отношений. Коммуникации</t>
        </is>
      </c>
      <c r="AE998" s="1" t="inlineStr">
        <is>
          <t>офсетная</t>
        </is>
      </c>
      <c r="AG998" s="1" t="n">
        <v>11027340</v>
      </c>
      <c r="AI998" s="1" t="inlineStr">
        <is>
          <t>4901990000</t>
        </is>
      </c>
    </row>
    <row r="999" customFormat="1" s="1">
      <c r="C999" s="1" t="inlineStr">
        <is>
          <t xml:space="preserve">11071020            </t>
        </is>
      </c>
      <c r="D999" s="1" t="inlineStr">
        <is>
          <t>Система Блаво</t>
        </is>
      </c>
      <c r="E999" s="1" t="inlineStr">
        <is>
          <t>Жить как дышать. Целительные упражнения и практики. Блаво Р.</t>
        </is>
      </c>
      <c r="F999" s="13" t="inlineStr">
        <is>
          <t>См.обл.</t>
        </is>
      </c>
      <c r="G999" s="1" t="inlineStr">
        <is>
          <t>Блаво Р.</t>
        </is>
      </c>
      <c r="H999" s="1" t="inlineStr">
        <is>
          <t>60х90/16</t>
        </is>
      </c>
      <c r="I999" s="1" t="n">
        <v>240</v>
      </c>
      <c r="J999" s="1" t="inlineStr">
        <is>
          <t>РИПОЛ Классик</t>
        </is>
      </c>
      <c r="M999" s="1" t="inlineStr">
        <is>
          <t>2023</t>
        </is>
      </c>
      <c r="N999" s="1" t="inlineStr">
        <is>
          <t>П</t>
        </is>
      </c>
      <c r="O999" s="9" t="n">
        <v>12</v>
      </c>
      <c r="P999" s="1">
        <f>ROUNDUP(970*(1-$F$3),2)</f>
        <v/>
      </c>
      <c r="Q999" s="1" t="inlineStr">
        <is>
          <t> </t>
        </is>
      </c>
      <c r="R999" s="1" t="inlineStr">
        <is>
          <t>978-5-386-15002-0</t>
        </is>
      </c>
      <c r="S999" s="1" t="inlineStr">
        <is>
          <t>9785386150020</t>
        </is>
      </c>
      <c r="T999" s="9" t="n">
        <v>10</v>
      </c>
      <c r="U999" s="1">
        <f>ROUNDUP(881.82*(1-$F$3),2)</f>
        <v/>
      </c>
      <c r="V999" s="1" t="n">
        <v>337</v>
      </c>
      <c r="Y999" s="1" t="inlineStr">
        <is>
          <t>Жить как дышать. Целительные упражнения и практики</t>
        </is>
      </c>
      <c r="Z999" s="1" t="inlineStr">
        <is>
          <t>16+</t>
        </is>
      </c>
      <c r="AA999" s="12" t="n">
        <v>45195</v>
      </c>
      <c r="AB999" s="1" t="inlineStr">
        <is>
          <t>Медицина</t>
        </is>
      </c>
      <c r="AC999" s="1" t="inlineStr">
        <is>
          <t>Популярная и нетрадиционная медицина</t>
        </is>
      </c>
      <c r="AD999" s="1" t="inlineStr">
        <is>
          <t>Народная медицина. Нетрадиционные методы лечения</t>
        </is>
      </c>
      <c r="AE999" s="1" t="inlineStr">
        <is>
          <t>офсетная</t>
        </is>
      </c>
      <c r="AG999" s="1" t="n">
        <v>11071020</v>
      </c>
      <c r="AI999" s="1" t="inlineStr">
        <is>
          <t>4901990000</t>
        </is>
      </c>
    </row>
    <row r="1000" customFormat="1" s="1">
      <c r="C1000" s="1" t="inlineStr">
        <is>
          <t xml:space="preserve">10747780            </t>
        </is>
      </c>
      <c r="D1000" s="1" t="inlineStr">
        <is>
          <t>Система Блаво</t>
        </is>
      </c>
      <c r="E1000" s="1" t="inlineStr">
        <is>
          <t>Как воспитать успешного ребенка. Блаво Р.</t>
        </is>
      </c>
      <c r="F1000" s="13" t="inlineStr">
        <is>
          <t>См.обл.</t>
        </is>
      </c>
      <c r="G1000" s="1" t="inlineStr">
        <is>
          <t>Блаво Р.</t>
        </is>
      </c>
      <c r="H1000" s="1" t="inlineStr">
        <is>
          <t>60х90/16</t>
        </is>
      </c>
      <c r="I1000" s="1" t="n">
        <v>176</v>
      </c>
      <c r="J1000" s="1" t="inlineStr">
        <is>
          <t>РИПОЛ Классик</t>
        </is>
      </c>
      <c r="M1000" s="1" t="inlineStr">
        <is>
          <t>2023</t>
        </is>
      </c>
      <c r="N1000" s="1" t="inlineStr">
        <is>
          <t>П</t>
        </is>
      </c>
      <c r="O1000" s="9" t="n">
        <v>16</v>
      </c>
      <c r="P1000" s="1">
        <f>ROUNDUP(920*(1-$F$3),2)</f>
        <v/>
      </c>
      <c r="Q1000" s="1" t="inlineStr">
        <is>
          <t> </t>
        </is>
      </c>
      <c r="R1000" s="1" t="inlineStr">
        <is>
          <t>978-5-386-14950-5</t>
        </is>
      </c>
      <c r="S1000" s="1" t="inlineStr">
        <is>
          <t>9785386149505</t>
        </is>
      </c>
      <c r="T1000" s="9" t="n">
        <v>10</v>
      </c>
      <c r="U1000" s="1">
        <f>ROUNDUP(836.36*(1-$F$3),2)</f>
        <v/>
      </c>
      <c r="V1000" s="1" t="n">
        <v>331</v>
      </c>
      <c r="Y1000" s="1" t="inlineStr">
        <is>
          <t>Как воспитать успешного ребенка</t>
        </is>
      </c>
      <c r="Z1000" s="1" t="inlineStr">
        <is>
          <t>16+</t>
        </is>
      </c>
      <c r="AA1000" s="12" t="n">
        <v>44945</v>
      </c>
      <c r="AB1000" s="1" t="inlineStr">
        <is>
          <t>Гуманитарные науки</t>
        </is>
      </c>
      <c r="AC1000" s="1" t="inlineStr">
        <is>
          <t>Психология</t>
        </is>
      </c>
      <c r="AD1000" s="1" t="inlineStr">
        <is>
          <t>Социальная психология. Психология отношений. Коммуникации</t>
        </is>
      </c>
      <c r="AE1000" s="1" t="inlineStr">
        <is>
          <t>офсетная</t>
        </is>
      </c>
      <c r="AG1000" s="1" t="n">
        <v>10747780</v>
      </c>
      <c r="AI1000" s="1" t="inlineStr">
        <is>
          <t>4901990000</t>
        </is>
      </c>
    </row>
    <row r="1001" customFormat="1" s="1">
      <c r="C1001" s="1" t="inlineStr">
        <is>
          <t xml:space="preserve">10747770            </t>
        </is>
      </c>
      <c r="D1001" s="1" t="inlineStr">
        <is>
          <t>Система Блаво</t>
        </is>
      </c>
      <c r="E1001" s="1" t="inlineStr">
        <is>
          <t>Как построить счастливый брак. Блаво Р.</t>
        </is>
      </c>
      <c r="F1001" s="13" t="inlineStr">
        <is>
          <t>См.обл.</t>
        </is>
      </c>
      <c r="G1001" s="1" t="inlineStr">
        <is>
          <t>Блаво Р.</t>
        </is>
      </c>
      <c r="H1001" s="1" t="inlineStr">
        <is>
          <t>60х90/16</t>
        </is>
      </c>
      <c r="I1001" s="1" t="n">
        <v>304</v>
      </c>
      <c r="J1001" s="1" t="inlineStr">
        <is>
          <t>РИПОЛ Классик</t>
        </is>
      </c>
      <c r="M1001" s="1" t="inlineStr">
        <is>
          <t>2023</t>
        </is>
      </c>
      <c r="N1001" s="1" t="inlineStr">
        <is>
          <t>П</t>
        </is>
      </c>
      <c r="O1001" s="9" t="n">
        <v>12</v>
      </c>
      <c r="P1001" s="1">
        <f>ROUNDUP(1120*(1-$F$3),2)</f>
        <v/>
      </c>
      <c r="Q1001" s="1" t="inlineStr">
        <is>
          <t> </t>
        </is>
      </c>
      <c r="R1001" s="1" t="inlineStr">
        <is>
          <t>978-5-386-14935-2</t>
        </is>
      </c>
      <c r="S1001" s="1" t="inlineStr">
        <is>
          <t>9785386149352</t>
        </is>
      </c>
      <c r="T1001" s="9" t="n">
        <v>10</v>
      </c>
      <c r="U1001" s="1">
        <f>ROUNDUP(1018.18*(1-$F$3),2)</f>
        <v/>
      </c>
      <c r="V1001" s="1" t="n">
        <v>416</v>
      </c>
      <c r="Y1001" s="1" t="inlineStr">
        <is>
          <t>Как построить счастливый брак</t>
        </is>
      </c>
      <c r="Z1001" s="1" t="inlineStr">
        <is>
          <t>16+</t>
        </is>
      </c>
      <c r="AA1001" s="12" t="n">
        <v>44917</v>
      </c>
      <c r="AB1001" s="1" t="inlineStr">
        <is>
          <t>Гуманитарные науки</t>
        </is>
      </c>
      <c r="AC1001" s="1" t="inlineStr">
        <is>
          <t>Психология</t>
        </is>
      </c>
      <c r="AD1001" s="1" t="inlineStr">
        <is>
          <t>Социальная психология. Психология отношений. Коммуникации</t>
        </is>
      </c>
      <c r="AE1001" s="1" t="inlineStr">
        <is>
          <t>офсетная</t>
        </is>
      </c>
      <c r="AG1001" s="1" t="n">
        <v>10747770</v>
      </c>
      <c r="AI1001" s="1" t="inlineStr">
        <is>
          <t>4901990000</t>
        </is>
      </c>
    </row>
    <row r="1002" customFormat="1" s="1">
      <c r="C1002" s="1" t="inlineStr">
        <is>
          <t xml:space="preserve">11027360            </t>
        </is>
      </c>
      <c r="D1002" s="1" t="inlineStr">
        <is>
          <t>Система Блаво</t>
        </is>
      </c>
      <c r="E1002" s="1" t="inlineStr">
        <is>
          <t>Мы и наши дети. Стратегия осознанного родительства. Блаво Р.</t>
        </is>
      </c>
      <c r="F1002" s="13" t="inlineStr">
        <is>
          <t>См.обл.</t>
        </is>
      </c>
      <c r="G1002" s="1" t="inlineStr">
        <is>
          <t>Блаво Р.</t>
        </is>
      </c>
      <c r="H1002" s="1" t="inlineStr">
        <is>
          <t>60х90/16</t>
        </is>
      </c>
      <c r="I1002" s="1" t="n">
        <v>176</v>
      </c>
      <c r="J1002" s="1" t="inlineStr">
        <is>
          <t>РИПОЛ Классик</t>
        </is>
      </c>
      <c r="M1002" s="1" t="inlineStr">
        <is>
          <t>2023</t>
        </is>
      </c>
      <c r="N1002" s="1" t="inlineStr">
        <is>
          <t>П</t>
        </is>
      </c>
      <c r="O1002" s="9" t="n">
        <v>14</v>
      </c>
      <c r="P1002" s="1">
        <f>ROUNDUP(820*(1-$F$3),2)</f>
        <v/>
      </c>
      <c r="Q1002" s="1" t="inlineStr">
        <is>
          <t> </t>
        </is>
      </c>
      <c r="R1002" s="1" t="inlineStr">
        <is>
          <t>978-5-386-15093-8</t>
        </is>
      </c>
      <c r="S1002" s="1" t="inlineStr">
        <is>
          <t>9785386150938</t>
        </is>
      </c>
      <c r="T1002" s="9" t="n">
        <v>10</v>
      </c>
      <c r="U1002" s="1">
        <f>ROUNDUP(745.45*(1-$F$3),2)</f>
        <v/>
      </c>
      <c r="V1002" s="1" t="n">
        <v>279</v>
      </c>
      <c r="Y1002" s="1" t="inlineStr">
        <is>
          <t>Мы и наши дети. Стратегия осознанного родительства</t>
        </is>
      </c>
      <c r="Z1002" s="1" t="inlineStr">
        <is>
          <t>16+</t>
        </is>
      </c>
      <c r="AA1002" s="12" t="n">
        <v>45167</v>
      </c>
      <c r="AB1002" s="1" t="inlineStr">
        <is>
          <t>Гуманитарные науки</t>
        </is>
      </c>
      <c r="AC1002" s="1" t="inlineStr">
        <is>
          <t>Психология</t>
        </is>
      </c>
      <c r="AD1002" s="1" t="inlineStr">
        <is>
          <t>Социальная психология. Психология отношений. Коммуникации</t>
        </is>
      </c>
      <c r="AE1002" s="1" t="inlineStr">
        <is>
          <t>офсетная</t>
        </is>
      </c>
      <c r="AG1002" s="1" t="n">
        <v>11027360</v>
      </c>
      <c r="AI1002" s="1" t="inlineStr">
        <is>
          <t>4901990000</t>
        </is>
      </c>
    </row>
    <row r="1003" customFormat="1" s="1">
      <c r="C1003" s="1" t="inlineStr">
        <is>
          <t xml:space="preserve">11422470            </t>
        </is>
      </c>
      <c r="D1003" s="1" t="inlineStr">
        <is>
          <t>Система Блаво</t>
        </is>
      </c>
      <c r="E1003" s="1" t="inlineStr">
        <is>
          <t>Я не боюсь. Искусство управления эмоциями. Блаво Р.</t>
        </is>
      </c>
      <c r="F1003" s="13" t="inlineStr">
        <is>
          <t>См.обл.</t>
        </is>
      </c>
      <c r="G1003" s="1" t="inlineStr">
        <is>
          <t>Блаво Р.</t>
        </is>
      </c>
      <c r="H1003" s="1" t="inlineStr">
        <is>
          <t>60х90/16</t>
        </is>
      </c>
      <c r="I1003" s="1" t="n">
        <v>288</v>
      </c>
      <c r="J1003" s="1" t="inlineStr">
        <is>
          <t>РИПОЛ Классик</t>
        </is>
      </c>
      <c r="M1003" s="1" t="inlineStr">
        <is>
          <t>2026</t>
        </is>
      </c>
      <c r="N1003" s="1" t="inlineStr">
        <is>
          <t>П</t>
        </is>
      </c>
      <c r="O1003" s="9" t="n">
        <v>5</v>
      </c>
      <c r="P1003" s="1">
        <f>ROUNDUP(1100*(1-$F$3),2)</f>
        <v/>
      </c>
      <c r="Q1003" s="1" t="inlineStr">
        <is>
          <t> </t>
        </is>
      </c>
      <c r="R1003" s="1" t="inlineStr">
        <is>
          <t>978-5-386-15168-3</t>
        </is>
      </c>
      <c r="S1003" s="1" t="inlineStr">
        <is>
          <t>9785386151683</t>
        </is>
      </c>
      <c r="T1003" s="9" t="n">
        <v>10</v>
      </c>
      <c r="U1003" s="1">
        <f>ROUNDUP(1000*(1-$F$3),2)</f>
        <v/>
      </c>
      <c r="V1003" s="1" t="n">
        <v>392</v>
      </c>
      <c r="Y1003" s="1" t="inlineStr">
        <is>
          <t>Я не боюсь. Искусство управления эмоциями</t>
        </is>
      </c>
      <c r="Z1003" s="1" t="inlineStr">
        <is>
          <t>16+</t>
        </is>
      </c>
      <c r="AA1003" s="12" t="n">
        <v>45533</v>
      </c>
      <c r="AB1003" s="1" t="inlineStr">
        <is>
          <t>Гуманитарные науки</t>
        </is>
      </c>
      <c r="AC1003" s="1" t="inlineStr">
        <is>
          <t>Психология</t>
        </is>
      </c>
      <c r="AD1003" s="1" t="inlineStr">
        <is>
          <t>Популярная психология</t>
        </is>
      </c>
      <c r="AE1003" s="1" t="inlineStr">
        <is>
          <t>офсетная</t>
        </is>
      </c>
      <c r="AG1003" s="1" t="n">
        <v>11422470</v>
      </c>
      <c r="AI1003" s="1" t="inlineStr">
        <is>
          <t>4901990000</t>
        </is>
      </c>
    </row>
    <row r="1004" customFormat="1" s="1">
      <c r="C1004" s="1" t="inlineStr">
        <is>
          <t xml:space="preserve">11532190            </t>
        </is>
      </c>
      <c r="D1004" s="1" t="inlineStr">
        <is>
          <t>Скажи «мама»</t>
        </is>
      </c>
      <c r="E1004" s="1" t="inlineStr">
        <is>
          <t>Ребенок: от планирования до школы. Инструкция по применению. Смирнов А.В</t>
        </is>
      </c>
      <c r="F1004" s="13" t="inlineStr">
        <is>
          <t>См.обл.</t>
        </is>
      </c>
      <c r="G1004" s="1" t="inlineStr">
        <is>
          <t>Смирнов А.В</t>
        </is>
      </c>
      <c r="H1004" s="1" t="inlineStr">
        <is>
          <t>60х90/16</t>
        </is>
      </c>
      <c r="I1004" s="1" t="n">
        <v>400</v>
      </c>
      <c r="J1004" s="1" t="inlineStr">
        <is>
          <t>РИПОЛ Классик</t>
        </is>
      </c>
      <c r="M1004" s="1" t="inlineStr">
        <is>
          <t>2025</t>
        </is>
      </c>
      <c r="N1004" s="1" t="inlineStr">
        <is>
          <t>П</t>
        </is>
      </c>
      <c r="O1004" s="9" t="n">
        <v>6</v>
      </c>
      <c r="P1004" s="1">
        <f>ROUNDUP(1140*(1-$F$3),2)</f>
        <v/>
      </c>
      <c r="Q1004" s="1" t="inlineStr">
        <is>
          <t> </t>
        </is>
      </c>
      <c r="R1004" s="1" t="inlineStr">
        <is>
          <t>978-5-386-15357-1</t>
        </is>
      </c>
      <c r="S1004" s="1" t="inlineStr">
        <is>
          <t>9785386153571</t>
        </is>
      </c>
      <c r="T1004" s="9" t="n">
        <v>10</v>
      </c>
      <c r="U1004" s="1">
        <f>ROUNDUP(1036.36*(1-$F$3),2)</f>
        <v/>
      </c>
      <c r="V1004" s="1" t="n">
        <v>428</v>
      </c>
      <c r="Y1004" s="1" t="inlineStr">
        <is>
          <t>Ребенок: от планирования до школы. Инструкция по применению</t>
        </is>
      </c>
      <c r="Z1004" s="1" t="inlineStr">
        <is>
          <t>12+</t>
        </is>
      </c>
      <c r="AA1004" s="12" t="n">
        <v>45636</v>
      </c>
      <c r="AB1004" s="1" t="inlineStr">
        <is>
          <t>Детская литература</t>
        </is>
      </c>
      <c r="AC1004" s="1" t="inlineStr">
        <is>
          <t>Книги для родителей</t>
        </is>
      </c>
      <c r="AD1004" s="1" t="inlineStr">
        <is>
          <t>Психология для родителей. Семейное воспитание</t>
        </is>
      </c>
      <c r="AE1004" s="1" t="inlineStr">
        <is>
          <t>офсетная</t>
        </is>
      </c>
      <c r="AG1004" s="1" t="n">
        <v>11532190</v>
      </c>
      <c r="AI1004" s="1" t="inlineStr">
        <is>
          <t>4901990000</t>
        </is>
      </c>
    </row>
    <row r="1005" customFormat="1" s="1">
      <c r="C1005" s="1" t="inlineStr">
        <is>
          <t xml:space="preserve">11485560            </t>
        </is>
      </c>
      <c r="D1005" s="1" t="inlineStr">
        <is>
          <t>Скажи «мама»</t>
        </is>
      </c>
      <c r="E1005" s="1" t="inlineStr">
        <is>
          <t>Скажи "мама". Как победить аутизм ребенка и стать счастливой. Деева Н.</t>
        </is>
      </c>
      <c r="F1005" s="13" t="inlineStr">
        <is>
          <t>См.обл.</t>
        </is>
      </c>
      <c r="G1005" s="1" t="inlineStr">
        <is>
          <t>Деева Н.</t>
        </is>
      </c>
      <c r="H1005" s="1" t="inlineStr">
        <is>
          <t>60х90/16</t>
        </is>
      </c>
      <c r="I1005" s="1" t="n">
        <v>224</v>
      </c>
      <c r="J1005" s="1" t="inlineStr">
        <is>
          <t>РИПОЛ Классик</t>
        </is>
      </c>
      <c r="M1005" s="1" t="inlineStr">
        <is>
          <t>2024</t>
        </is>
      </c>
      <c r="N1005" s="1" t="inlineStr">
        <is>
          <t>П</t>
        </is>
      </c>
      <c r="O1005" s="9" t="n">
        <v>10</v>
      </c>
      <c r="P1005" s="1">
        <f>ROUNDUP(980*(1-$F$3),2)</f>
        <v/>
      </c>
      <c r="Q1005" s="1" t="inlineStr">
        <is>
          <t> </t>
        </is>
      </c>
      <c r="R1005" s="1" t="inlineStr">
        <is>
          <t>978-5-386-15296-3</t>
        </is>
      </c>
      <c r="S1005" s="1" t="inlineStr">
        <is>
          <t>9785386152963</t>
        </is>
      </c>
      <c r="T1005" s="9" t="n">
        <v>10</v>
      </c>
      <c r="U1005" s="1">
        <f>ROUNDUP(890.91*(1-$F$3),2)</f>
        <v/>
      </c>
      <c r="V1005" s="1" t="n">
        <v>291</v>
      </c>
      <c r="Y1005" s="1" t="inlineStr">
        <is>
          <t>Скажи "мама". Как победить аутизм ребенка и стать счастливой</t>
        </is>
      </c>
      <c r="Z1005" s="1" t="inlineStr">
        <is>
          <t>12+</t>
        </is>
      </c>
      <c r="AA1005" s="12" t="n">
        <v>45585</v>
      </c>
      <c r="AB1005" s="1" t="inlineStr">
        <is>
          <t>Медицина</t>
        </is>
      </c>
      <c r="AC1005" s="1" t="inlineStr">
        <is>
          <t>Другие отрасли медицины</t>
        </is>
      </c>
      <c r="AD1005" s="1" t="inlineStr">
        <is>
          <t>Невропатология. Психиатрия</t>
        </is>
      </c>
      <c r="AE1005" s="1" t="inlineStr">
        <is>
          <t>офсетная</t>
        </is>
      </c>
      <c r="AG1005" s="1" t="n">
        <v>11485560</v>
      </c>
      <c r="AI1005" s="1" t="inlineStr">
        <is>
          <t>4901990000</t>
        </is>
      </c>
    </row>
    <row r="1006" customFormat="1" s="1">
      <c r="C1006" s="1" t="inlineStr">
        <is>
          <t>8808400</t>
        </is>
      </c>
      <c r="D1006" s="1" t="inlineStr">
        <is>
          <t>Сказка за сказкой</t>
        </is>
      </c>
      <c r="E1006" s="1" t="inlineStr">
        <is>
          <t>Зимняя сказка (комплект из 3-х книг). Бианки В.В., Топелиус С.</t>
        </is>
      </c>
      <c r="F1006" s="13" t="inlineStr">
        <is>
          <t>См.обл.</t>
        </is>
      </c>
      <c r="G1006" s="1" t="inlineStr">
        <is>
          <t>Бианки В.В., Топелиус С.</t>
        </is>
      </c>
      <c r="H1006" s="1" t="inlineStr">
        <is>
          <t>70х100/16</t>
        </is>
      </c>
      <c r="I1006" s="1" t="n">
        <v>152</v>
      </c>
      <c r="J1006" s="1" t="inlineStr">
        <is>
          <t>РИПОЛ Классик</t>
        </is>
      </c>
      <c r="K1006" s="1" t="inlineStr">
        <is>
          <t>Пальмира</t>
        </is>
      </c>
      <c r="M1006" s="1" t="inlineStr">
        <is>
          <t>2018</t>
        </is>
      </c>
      <c r="N1006" s="1" t="inlineStr">
        <is>
          <t>П</t>
        </is>
      </c>
      <c r="O1006" s="9" t="n"/>
      <c r="P1006" s="1">
        <f>ROUNDUP(1462.5*(1-$F$3),2)</f>
        <v/>
      </c>
      <c r="Q1006" s="1" t="inlineStr">
        <is>
          <t> </t>
        </is>
      </c>
      <c r="R1006" s="1" t="inlineStr">
        <is>
          <t>978-5-386-12283-6</t>
        </is>
      </c>
      <c r="S1006" s="1" t="inlineStr">
        <is>
          <t>9785386122836</t>
        </is>
      </c>
      <c r="T1006" s="9" t="n">
        <v>10</v>
      </c>
      <c r="U1006" s="1">
        <f>ROUNDUP(1329.55*(1-$F$3),2)</f>
        <v/>
      </c>
      <c r="V1006" s="1" t="n">
        <v>756</v>
      </c>
      <c r="Y1006" s="1" t="inlineStr">
        <is>
          <t>Зимняя сказка (комплект из 3-х книг)</t>
        </is>
      </c>
      <c r="Z1006" s="1" t="inlineStr">
        <is>
          <t>0 +</t>
        </is>
      </c>
      <c r="AA1006" s="12" t="n">
        <v>43383</v>
      </c>
      <c r="AB1006" s="1" t="inlineStr">
        <is>
          <t>Детская литература</t>
        </is>
      </c>
      <c r="AC1006" s="1" t="inlineStr">
        <is>
          <t>Художественная литература</t>
        </is>
      </c>
      <c r="AD1006" s="1" t="inlineStr">
        <is>
          <t>Литературная сказка</t>
        </is>
      </c>
      <c r="AE1006" s="1" t="inlineStr">
        <is>
          <t> </t>
        </is>
      </c>
      <c r="AG1006" s="1" t="n">
        <v>8808400</v>
      </c>
      <c r="AI1006" s="1" t="inlineStr">
        <is>
          <t>4901990000</t>
        </is>
      </c>
    </row>
    <row r="1007" customFormat="1" s="1">
      <c r="C1007" s="1" t="inlineStr">
        <is>
          <t xml:space="preserve">8782490             </t>
        </is>
      </c>
      <c r="D1007" s="1" t="inlineStr">
        <is>
          <t>Сказка за сказкой</t>
        </is>
      </c>
      <c r="E1007" s="1" t="inlineStr">
        <is>
          <t>Сказки. Пушкин А.С</t>
        </is>
      </c>
      <c r="F1007" s="13" t="inlineStr">
        <is>
          <t>См.обл.</t>
        </is>
      </c>
      <c r="G1007" s="1" t="inlineStr">
        <is>
          <t>Пушкин А.С</t>
        </is>
      </c>
      <c r="H1007" s="1" t="inlineStr">
        <is>
          <t>70х100/16</t>
        </is>
      </c>
      <c r="I1007" s="1" t="n">
        <v>48</v>
      </c>
      <c r="J1007" s="1" t="inlineStr">
        <is>
          <t>РИПОЛ Классик</t>
        </is>
      </c>
      <c r="K1007" s="1" t="inlineStr">
        <is>
          <t>Пальмира</t>
        </is>
      </c>
      <c r="M1007" s="1" t="inlineStr">
        <is>
          <t>2018</t>
        </is>
      </c>
      <c r="N1007" s="1" t="inlineStr">
        <is>
          <t>П</t>
        </is>
      </c>
      <c r="O1007" s="9" t="n">
        <v>20</v>
      </c>
      <c r="P1007" s="1">
        <f>ROUNDUP(520.4*(1-$F$3),2)</f>
        <v/>
      </c>
      <c r="Q1007" s="1" t="inlineStr">
        <is>
          <t> </t>
        </is>
      </c>
      <c r="R1007" s="1" t="inlineStr">
        <is>
          <t>978-5-386-10974-5</t>
        </is>
      </c>
      <c r="S1007" s="1" t="inlineStr">
        <is>
          <t>9785386109745</t>
        </is>
      </c>
      <c r="T1007" s="9" t="n">
        <v>10</v>
      </c>
      <c r="U1007" s="1">
        <f>ROUNDUP(473.09*(1-$F$3),2)</f>
        <v/>
      </c>
      <c r="V1007" s="1" t="n">
        <v>249</v>
      </c>
      <c r="Y1007" s="1" t="inlineStr">
        <is>
          <t>Сказки</t>
        </is>
      </c>
      <c r="Z1007" s="1" t="inlineStr">
        <is>
          <t>0 +</t>
        </is>
      </c>
      <c r="AA1007" s="12" t="n">
        <v>43363</v>
      </c>
      <c r="AB1007" s="1" t="inlineStr">
        <is>
          <t>Детская литература</t>
        </is>
      </c>
      <c r="AC1007" s="1" t="inlineStr">
        <is>
          <t>Художественная литература</t>
        </is>
      </c>
      <c r="AD1007" s="1" t="inlineStr">
        <is>
          <t>Литературная сказка</t>
        </is>
      </c>
      <c r="AE1007" s="1" t="inlineStr">
        <is>
          <t>офсетная</t>
        </is>
      </c>
      <c r="AG1007" s="1" t="n">
        <v>8782490</v>
      </c>
      <c r="AI1007" s="1" t="inlineStr">
        <is>
          <t>4901990000</t>
        </is>
      </c>
    </row>
    <row r="1008" customFormat="1" s="1">
      <c r="C1008" s="1" t="inlineStr">
        <is>
          <t xml:space="preserve">11897850            </t>
        </is>
      </c>
      <c r="D1008" s="1" t="inlineStr">
        <is>
          <t>Скандинавская классика</t>
        </is>
      </c>
      <c r="E1008" s="1" t="inlineStr">
        <is>
          <t>Изгой. Лагерлеф С.</t>
        </is>
      </c>
      <c r="F1008" s="13" t="inlineStr">
        <is>
          <t>См.обл.</t>
        </is>
      </c>
      <c r="G1008" s="1" t="inlineStr">
        <is>
          <t>Лагерлеф С.</t>
        </is>
      </c>
      <c r="H1008" s="1" t="inlineStr">
        <is>
          <t>60х90/16</t>
        </is>
      </c>
      <c r="I1008" s="1" t="n">
        <v>272</v>
      </c>
      <c r="J1008" s="1" t="inlineStr">
        <is>
          <t>РИПОЛ Классик</t>
        </is>
      </c>
      <c r="M1008" s="1" t="inlineStr">
        <is>
          <t>2026</t>
        </is>
      </c>
      <c r="N1008" s="1" t="inlineStr">
        <is>
          <t>П</t>
        </is>
      </c>
      <c r="O1008" s="9" t="n">
        <v>10</v>
      </c>
      <c r="P1008" s="1">
        <f>ROUNDUP(910*(1-$F$3),2)</f>
        <v/>
      </c>
      <c r="Q1008" s="1" t="inlineStr">
        <is>
          <t> </t>
        </is>
      </c>
      <c r="R1008" s="1" t="inlineStr">
        <is>
          <t>978-5-386-15488-2</t>
        </is>
      </c>
      <c r="S1008" s="1" t="inlineStr">
        <is>
          <t>9785386154882</t>
        </is>
      </c>
      <c r="T1008" s="9" t="n">
        <v>10</v>
      </c>
      <c r="U1008" s="1">
        <f>ROUNDUP(827.27*(1-$F$3),2)</f>
        <v/>
      </c>
      <c r="V1008" s="1" t="n">
        <v>415</v>
      </c>
      <c r="Y1008" s="1" t="inlineStr">
        <is>
          <t>Изгой</t>
        </is>
      </c>
      <c r="Z1008" s="1" t="inlineStr">
        <is>
          <t>16+</t>
        </is>
      </c>
      <c r="AA1008" s="12" t="n">
        <v>45938</v>
      </c>
      <c r="AB1008" s="1" t="inlineStr">
        <is>
          <t>Художественная литература</t>
        </is>
      </c>
      <c r="AC1008" s="1" t="inlineStr">
        <is>
          <t>Зарубежная литература</t>
        </is>
      </c>
      <c r="AD1008" s="1" t="inlineStr">
        <is>
          <t>Европейская литература</t>
        </is>
      </c>
      <c r="AE1008" s="1" t="inlineStr">
        <is>
          <t>офсетная</t>
        </is>
      </c>
      <c r="AG1008" s="1" t="n">
        <v>11897850</v>
      </c>
      <c r="AI1008" s="1" t="inlineStr">
        <is>
          <t>4901990000</t>
        </is>
      </c>
    </row>
    <row r="1009" customFormat="1" s="1">
      <c r="C1009" s="1" t="inlineStr">
        <is>
          <t xml:space="preserve">11897880            </t>
        </is>
      </c>
      <c r="D1009" s="1" t="inlineStr">
        <is>
          <t>Скандинавская классика</t>
        </is>
      </c>
      <c r="E1009" s="1" t="inlineStr">
        <is>
          <t>Сказание о Йосте Берлинге. Лагерлеф С.</t>
        </is>
      </c>
      <c r="F1009" s="13" t="inlineStr">
        <is>
          <t>См.обл.</t>
        </is>
      </c>
      <c r="G1009" s="1" t="inlineStr">
        <is>
          <t>Лагерлеф С.</t>
        </is>
      </c>
      <c r="H1009" s="1" t="inlineStr">
        <is>
          <t>60х90/16</t>
        </is>
      </c>
      <c r="I1009" s="1" t="n">
        <v>560</v>
      </c>
      <c r="J1009" s="1" t="inlineStr">
        <is>
          <t>РИПОЛ Классик</t>
        </is>
      </c>
      <c r="M1009" s="1" t="inlineStr">
        <is>
          <t>2026</t>
        </is>
      </c>
      <c r="N1009" s="1" t="inlineStr">
        <is>
          <t>П</t>
        </is>
      </c>
      <c r="O1009" s="9" t="n">
        <v>6</v>
      </c>
      <c r="P1009" s="1">
        <f>ROUNDUP(1260*(1-$F$3),2)</f>
        <v/>
      </c>
      <c r="Q1009" s="1" t="inlineStr">
        <is>
          <t> </t>
        </is>
      </c>
      <c r="R1009" s="1" t="inlineStr">
        <is>
          <t>978-5-386-15477-6</t>
        </is>
      </c>
      <c r="S1009" s="1" t="inlineStr">
        <is>
          <t>9785386154776</t>
        </is>
      </c>
      <c r="T1009" s="9" t="n">
        <v>10</v>
      </c>
      <c r="U1009" s="1">
        <f>ROUNDUP(1145.45*(1-$F$3),2)</f>
        <v/>
      </c>
      <c r="V1009" s="1" t="n">
        <v>593</v>
      </c>
      <c r="Y1009" s="1" t="inlineStr">
        <is>
          <t>Сказание о Йосте Берлинге</t>
        </is>
      </c>
      <c r="Z1009" s="1" t="inlineStr">
        <is>
          <t>16+</t>
        </is>
      </c>
      <c r="AA1009" s="12" t="n">
        <v>45998</v>
      </c>
      <c r="AB1009" s="1" t="inlineStr">
        <is>
          <t>Художественная литература</t>
        </is>
      </c>
      <c r="AC1009" s="1" t="inlineStr">
        <is>
          <t>Зарубежная литература</t>
        </is>
      </c>
      <c r="AD1009" s="1" t="inlineStr">
        <is>
          <t>Европейская литература</t>
        </is>
      </c>
      <c r="AE1009" s="1" t="inlineStr">
        <is>
          <t>офсетная</t>
        </is>
      </c>
      <c r="AG1009" s="1" t="n">
        <v>11897880</v>
      </c>
      <c r="AI1009" s="1" t="inlineStr">
        <is>
          <t>4901990000</t>
        </is>
      </c>
    </row>
    <row r="1010" customFormat="1" s="1">
      <c r="C1010" s="1" t="inlineStr">
        <is>
          <t xml:space="preserve">12114700            </t>
        </is>
      </c>
      <c r="D1010" s="1" t="inlineStr">
        <is>
          <t>Скандинавская классика</t>
        </is>
      </c>
      <c r="E1010" s="1" t="inlineStr">
        <is>
          <t>Удивительное путешествие Нильса Хольгерссона с дикими гусями по Швеции. Лагерлеф С.</t>
        </is>
      </c>
      <c r="F1010" s="13" t="inlineStr">
        <is>
          <t>См.обл.</t>
        </is>
      </c>
      <c r="G1010" s="1" t="inlineStr">
        <is>
          <t>Лагерлеф С.</t>
        </is>
      </c>
      <c r="H1010" s="1" t="inlineStr">
        <is>
          <t>60х90/16</t>
        </is>
      </c>
      <c r="I1010" s="1" t="n">
        <v>624</v>
      </c>
      <c r="J1010" s="1" t="inlineStr">
        <is>
          <t>РИПОЛ Классик</t>
        </is>
      </c>
      <c r="M1010" s="1" t="inlineStr">
        <is>
          <t>2026</t>
        </is>
      </c>
      <c r="N1010" s="1" t="inlineStr">
        <is>
          <t>П</t>
        </is>
      </c>
      <c r="O1010" s="9" t="n">
        <v>6</v>
      </c>
      <c r="P1010" s="1">
        <f>ROUNDUP(1590*(1-$F$3),2)</f>
        <v/>
      </c>
      <c r="Q1010" s="1" t="inlineStr">
        <is>
          <t> </t>
        </is>
      </c>
      <c r="R1010" s="1" t="inlineStr">
        <is>
          <t>978-5-386-15620-6</t>
        </is>
      </c>
      <c r="S1010" s="1" t="inlineStr">
        <is>
          <t>9785386156206</t>
        </is>
      </c>
      <c r="T1010" s="9" t="n">
        <v>10</v>
      </c>
      <c r="U1010" s="1">
        <f>ROUNDUP(1445.45*(1-$F$3),2)</f>
        <v/>
      </c>
      <c r="V1010" s="1" t="n">
        <v>698</v>
      </c>
      <c r="Y1010" s="1" t="inlineStr">
        <is>
          <t>Удивительное путешествие Нильса Хольгерссона с дикими гусями по Швеции</t>
        </is>
      </c>
      <c r="Z1010" s="1" t="inlineStr">
        <is>
          <t>12+</t>
        </is>
      </c>
      <c r="AA1010" s="12" t="n">
        <v>46147</v>
      </c>
      <c r="AB1010" s="1" t="inlineStr">
        <is>
          <t>Детская литература</t>
        </is>
      </c>
      <c r="AC1010" s="1" t="inlineStr">
        <is>
          <t>Художественная литература</t>
        </is>
      </c>
      <c r="AD1010" s="1" t="inlineStr">
        <is>
          <t>Литературная сказка</t>
        </is>
      </c>
      <c r="AE1010" s="1" t="inlineStr">
        <is>
          <t>офсетная</t>
        </is>
      </c>
      <c r="AG1010" s="1" t="n">
        <v>12114700</v>
      </c>
      <c r="AI1010" s="1" t="inlineStr">
        <is>
          <t>4901990000</t>
        </is>
      </c>
    </row>
    <row r="1011" customFormat="1" s="1">
      <c r="C1011" s="1" t="inlineStr">
        <is>
          <t xml:space="preserve">9972900             </t>
        </is>
      </c>
      <c r="D1011" s="1" t="inlineStr">
        <is>
          <t>Скандинавский детектив</t>
        </is>
      </c>
      <c r="E1011" s="1" t="inlineStr">
        <is>
          <t>Гренландская кукла: роман. Нюгордсхауг Г.</t>
        </is>
      </c>
      <c r="F1011" s="13" t="inlineStr">
        <is>
          <t>См.обл.</t>
        </is>
      </c>
      <c r="G1011" s="1" t="inlineStr">
        <is>
          <t>Нюгордсхауг Г.</t>
        </is>
      </c>
      <c r="H1011" s="1" t="inlineStr">
        <is>
          <t>84х108/32</t>
        </is>
      </c>
      <c r="I1011" s="1" t="n">
        <v>240</v>
      </c>
      <c r="J1011" s="1" t="inlineStr">
        <is>
          <t>РИПОЛ Классик</t>
        </is>
      </c>
      <c r="K1011" s="1" t="inlineStr">
        <is>
          <t>RUGRAM_РИПОЛ Классик</t>
        </is>
      </c>
      <c r="M1011" s="1" t="inlineStr">
        <is>
          <t>2021</t>
        </is>
      </c>
      <c r="N1011" s="1" t="inlineStr">
        <is>
          <t>П</t>
        </is>
      </c>
      <c r="O1011" s="9" t="n">
        <v>14</v>
      </c>
      <c r="P1011" s="1">
        <f>ROUNDUP(1130*(1-$F$3),2)</f>
        <v/>
      </c>
      <c r="Q1011" s="1" t="inlineStr">
        <is>
          <t> </t>
        </is>
      </c>
      <c r="R1011" s="1" t="inlineStr">
        <is>
          <t>978-5-386-12895-1</t>
        </is>
      </c>
      <c r="S1011" s="1" t="inlineStr">
        <is>
          <t>9785386128951</t>
        </is>
      </c>
      <c r="T1011" s="9" t="n">
        <v>10</v>
      </c>
      <c r="U1011" s="1">
        <f>ROUNDUP(1027.27*(1-$F$3),2)</f>
        <v/>
      </c>
      <c r="V1011" s="1" t="n">
        <v>336</v>
      </c>
      <c r="Y1011" s="1" t="inlineStr">
        <is>
          <t>Гренландская кукла: роман</t>
        </is>
      </c>
      <c r="Z1011" s="1" t="inlineStr">
        <is>
          <t>16+</t>
        </is>
      </c>
      <c r="AA1011" s="12" t="n">
        <v>44468</v>
      </c>
      <c r="AB1011" s="1" t="inlineStr">
        <is>
          <t>Художественная литература</t>
        </is>
      </c>
      <c r="AC1011" s="1" t="inlineStr">
        <is>
          <t>Детективы. Боевики. Триллеры</t>
        </is>
      </c>
      <c r="AD1011" s="1" t="inlineStr">
        <is>
          <t>Зарубежный детектив</t>
        </is>
      </c>
      <c r="AE1011" s="1" t="inlineStr">
        <is>
          <t>офсетная</t>
        </is>
      </c>
      <c r="AG1011" s="1" t="n">
        <v>9972900</v>
      </c>
      <c r="AI1011" s="1" t="inlineStr">
        <is>
          <t>4901990000</t>
        </is>
      </c>
    </row>
    <row r="1012" customFormat="1" s="1">
      <c r="C1012" s="1" t="inlineStr">
        <is>
          <t xml:space="preserve">10196890            </t>
        </is>
      </c>
      <c r="D1012" s="1" t="inlineStr">
        <is>
          <t>Скандинавский детектив</t>
        </is>
      </c>
      <c r="E1012" s="1" t="inlineStr">
        <is>
          <t>Девятый принцип. Нюгордсхауг Г.</t>
        </is>
      </c>
      <c r="F1012" s="13" t="inlineStr">
        <is>
          <t>См.обл.</t>
        </is>
      </c>
      <c r="G1012" s="1" t="inlineStr">
        <is>
          <t>Нюгордсхауг Г.</t>
        </is>
      </c>
      <c r="H1012" s="1" t="inlineStr">
        <is>
          <t>84х108/32</t>
        </is>
      </c>
      <c r="I1012" s="1" t="n">
        <v>260</v>
      </c>
      <c r="J1012" s="1" t="inlineStr">
        <is>
          <t>РИПОЛ Классик</t>
        </is>
      </c>
      <c r="K1012" s="1" t="inlineStr">
        <is>
          <t>RUGRAM_РИПОЛ Классик</t>
        </is>
      </c>
      <c r="M1012" s="1" t="inlineStr">
        <is>
          <t>2022</t>
        </is>
      </c>
      <c r="N1012" s="1" t="inlineStr">
        <is>
          <t>П</t>
        </is>
      </c>
      <c r="O1012" s="9" t="n">
        <v>16</v>
      </c>
      <c r="P1012" s="1">
        <f>ROUNDUP(1130*(1-$F$3),2)</f>
        <v/>
      </c>
      <c r="Q1012" s="1" t="inlineStr">
        <is>
          <t> </t>
        </is>
      </c>
      <c r="R1012" s="1" t="inlineStr">
        <is>
          <t>978-5-386-12886-9</t>
        </is>
      </c>
      <c r="S1012" s="1" t="inlineStr">
        <is>
          <t>9785386128869</t>
        </is>
      </c>
      <c r="T1012" s="9" t="n">
        <v>10</v>
      </c>
      <c r="U1012" s="1">
        <f>ROUNDUP(1027.27*(1-$F$3),2)</f>
        <v/>
      </c>
      <c r="V1012" s="1" t="n">
        <v>316</v>
      </c>
      <c r="Y1012" s="1" t="inlineStr">
        <is>
          <t>Девятый принцип</t>
        </is>
      </c>
      <c r="Z1012" s="1" t="inlineStr">
        <is>
          <t>16+</t>
        </is>
      </c>
      <c r="AA1012" s="12" t="n">
        <v>44600</v>
      </c>
      <c r="AB1012" s="1" t="inlineStr">
        <is>
          <t>Художественная литература</t>
        </is>
      </c>
      <c r="AC1012" s="1" t="inlineStr">
        <is>
          <t>Детективы. Боевики. Триллеры</t>
        </is>
      </c>
      <c r="AD1012" s="1" t="inlineStr">
        <is>
          <t>Зарубежный детектив</t>
        </is>
      </c>
      <c r="AE1012" s="1" t="inlineStr">
        <is>
          <t>офсетная</t>
        </is>
      </c>
      <c r="AG1012" s="1" t="n">
        <v>10196890</v>
      </c>
      <c r="AI1012" s="1" t="inlineStr">
        <is>
          <t>4901990000</t>
        </is>
      </c>
      <c r="AJ1012" s="1" t="inlineStr">
        <is>
          <t>Зпв</t>
        </is>
      </c>
    </row>
    <row r="1013" customFormat="1" s="1">
      <c r="C1013" s="1" t="inlineStr">
        <is>
          <t xml:space="preserve">10225350            </t>
        </is>
      </c>
      <c r="D1013" s="1" t="inlineStr">
        <is>
          <t>Скандинавский детектив</t>
        </is>
      </c>
      <c r="E1013" s="1" t="inlineStr">
        <is>
          <t>Кодекс смерти. Нюгордсхауг Г.</t>
        </is>
      </c>
      <c r="F1013" s="13" t="inlineStr">
        <is>
          <t>См.обл.</t>
        </is>
      </c>
      <c r="G1013" s="1" t="inlineStr">
        <is>
          <t>Нюгордсхауг Г.</t>
        </is>
      </c>
      <c r="H1013" s="1" t="inlineStr">
        <is>
          <t>84х108/32</t>
        </is>
      </c>
      <c r="I1013" s="1" t="n">
        <v>252</v>
      </c>
      <c r="J1013" s="1" t="inlineStr">
        <is>
          <t>РИПОЛ Классик</t>
        </is>
      </c>
      <c r="K1013" s="1" t="inlineStr">
        <is>
          <t>RUGRAM_РИПОЛ Классик</t>
        </is>
      </c>
      <c r="M1013" s="1" t="inlineStr">
        <is>
          <t>2022</t>
        </is>
      </c>
      <c r="N1013" s="1" t="inlineStr">
        <is>
          <t>П</t>
        </is>
      </c>
      <c r="O1013" s="9" t="n">
        <v>16</v>
      </c>
      <c r="P1013" s="1">
        <f>ROUNDUP(1130*(1-$F$3),2)</f>
        <v/>
      </c>
      <c r="Q1013" s="1" t="inlineStr">
        <is>
          <t> </t>
        </is>
      </c>
      <c r="R1013" s="1" t="inlineStr">
        <is>
          <t>978-5-386-12885-2</t>
        </is>
      </c>
      <c r="S1013" s="1" t="inlineStr">
        <is>
          <t>9785386128852</t>
        </is>
      </c>
      <c r="T1013" s="9" t="n">
        <v>10</v>
      </c>
      <c r="U1013" s="1">
        <f>ROUNDUP(1027.27*(1-$F$3),2)</f>
        <v/>
      </c>
      <c r="V1013" s="1" t="n">
        <v>307</v>
      </c>
      <c r="Y1013" s="1" t="inlineStr">
        <is>
          <t>Кодекс смерти</t>
        </is>
      </c>
      <c r="Z1013" s="1" t="inlineStr">
        <is>
          <t>16+</t>
        </is>
      </c>
      <c r="AA1013" s="12" t="n">
        <v>44600</v>
      </c>
      <c r="AB1013" s="1" t="inlineStr">
        <is>
          <t>Художественная литература</t>
        </is>
      </c>
      <c r="AC1013" s="1" t="inlineStr">
        <is>
          <t>Детективы. Боевики. Триллеры</t>
        </is>
      </c>
      <c r="AD1013" s="1" t="inlineStr">
        <is>
          <t>Зарубежный детектив</t>
        </is>
      </c>
      <c r="AE1013" s="1" t="inlineStr">
        <is>
          <t>офсетная</t>
        </is>
      </c>
      <c r="AG1013" s="1" t="n">
        <v>10225350</v>
      </c>
      <c r="AI1013" s="1" t="inlineStr">
        <is>
          <t>4901990000</t>
        </is>
      </c>
    </row>
    <row r="1014" customFormat="1" s="1">
      <c r="C1014" s="1" t="inlineStr">
        <is>
          <t xml:space="preserve">10225340            </t>
        </is>
      </c>
      <c r="D1014" s="1" t="inlineStr">
        <is>
          <t>Скандинавский детектив</t>
        </is>
      </c>
      <c r="E1014" s="1" t="inlineStr">
        <is>
          <t>Перст Кассандры: роман. Нюгордсхауг Г.</t>
        </is>
      </c>
      <c r="F1014" s="13" t="inlineStr">
        <is>
          <t>См.обл.</t>
        </is>
      </c>
      <c r="G1014" s="1" t="inlineStr">
        <is>
          <t>Нюгордсхауг Г.</t>
        </is>
      </c>
      <c r="H1014" s="1" t="inlineStr">
        <is>
          <t>84х108/32</t>
        </is>
      </c>
      <c r="I1014" s="1" t="n">
        <v>256</v>
      </c>
      <c r="J1014" s="1" t="inlineStr">
        <is>
          <t>РИПОЛ Классик</t>
        </is>
      </c>
      <c r="K1014" s="1" t="inlineStr">
        <is>
          <t>RUGRAM_РИПОЛ Классик</t>
        </is>
      </c>
      <c r="M1014" s="1" t="inlineStr">
        <is>
          <t>2022</t>
        </is>
      </c>
      <c r="N1014" s="1" t="inlineStr">
        <is>
          <t>П</t>
        </is>
      </c>
      <c r="O1014" s="9" t="n">
        <v>14</v>
      </c>
      <c r="P1014" s="1">
        <f>ROUNDUP(1130*(1-$F$3),2)</f>
        <v/>
      </c>
      <c r="Q1014" s="1" t="inlineStr">
        <is>
          <t> </t>
        </is>
      </c>
      <c r="R1014" s="1" t="inlineStr">
        <is>
          <t>978-5-386-12900-2</t>
        </is>
      </c>
      <c r="S1014" s="1" t="inlineStr">
        <is>
          <t>9785386129002</t>
        </is>
      </c>
      <c r="T1014" s="9" t="n">
        <v>10</v>
      </c>
      <c r="U1014" s="1">
        <f>ROUNDUP(1027.27*(1-$F$3),2)</f>
        <v/>
      </c>
      <c r="V1014" s="1" t="n">
        <v>352</v>
      </c>
      <c r="Y1014" s="1" t="inlineStr">
        <is>
          <t>Перст Кассандры: роман</t>
        </is>
      </c>
      <c r="Z1014" s="1" t="inlineStr">
        <is>
          <t>16+</t>
        </is>
      </c>
      <c r="AA1014" s="12" t="n">
        <v>44606</v>
      </c>
      <c r="AB1014" s="1" t="inlineStr">
        <is>
          <t>Художественная литература</t>
        </is>
      </c>
      <c r="AC1014" s="1" t="inlineStr">
        <is>
          <t>Детективы. Боевики. Триллеры</t>
        </is>
      </c>
      <c r="AD1014" s="1" t="inlineStr">
        <is>
          <t>Зарубежный детектив</t>
        </is>
      </c>
      <c r="AE1014" s="1" t="inlineStr">
        <is>
          <t>офсетная</t>
        </is>
      </c>
      <c r="AG1014" s="1" t="n">
        <v>10225340</v>
      </c>
      <c r="AI1014" s="1" t="inlineStr">
        <is>
          <t>4901990000</t>
        </is>
      </c>
    </row>
    <row r="1015" customFormat="1" s="1">
      <c r="C1015" s="1" t="inlineStr">
        <is>
          <t xml:space="preserve">9075720             </t>
        </is>
      </c>
      <c r="D1015" s="1" t="inlineStr">
        <is>
          <t>Словарь жестов new</t>
        </is>
      </c>
      <c r="E1015" s="1" t="inlineStr">
        <is>
          <t>Словарь жестов. Мессинжер Ж.</t>
        </is>
      </c>
      <c r="F1015" s="13" t="inlineStr">
        <is>
          <t>См.обл.</t>
        </is>
      </c>
      <c r="G1015" s="1" t="inlineStr">
        <is>
          <t>Мессинжер Ж.</t>
        </is>
      </c>
      <c r="H1015" s="1" t="inlineStr">
        <is>
          <t>84х108/32</t>
        </is>
      </c>
      <c r="I1015" s="1" t="n">
        <v>720</v>
      </c>
      <c r="J1015" s="1" t="inlineStr">
        <is>
          <t>РИПОЛ Классик</t>
        </is>
      </c>
      <c r="M1015" s="1" t="inlineStr">
        <is>
          <t>2024</t>
        </is>
      </c>
      <c r="N1015" s="1" t="inlineStr">
        <is>
          <t>О</t>
        </is>
      </c>
      <c r="O1015" s="9" t="n">
        <v>6</v>
      </c>
      <c r="P1015" s="1">
        <f>ROUNDUP(1520*(1-$F$3),2)</f>
        <v/>
      </c>
      <c r="Q1015" s="1" t="inlineStr">
        <is>
          <t> </t>
        </is>
      </c>
      <c r="R1015" s="1" t="inlineStr">
        <is>
          <t>978-5-386-13423-5</t>
        </is>
      </c>
      <c r="S1015" s="1" t="inlineStr">
        <is>
          <t>9785386134235</t>
        </is>
      </c>
      <c r="T1015" s="9" t="n">
        <v>10</v>
      </c>
      <c r="U1015" s="1">
        <f>ROUNDUP(1381.82*(1-$F$3),2)</f>
        <v/>
      </c>
      <c r="V1015" s="1" t="n">
        <v>629</v>
      </c>
      <c r="Y1015" s="1" t="inlineStr">
        <is>
          <t>Словарь жестов</t>
        </is>
      </c>
      <c r="Z1015" s="1" t="inlineStr">
        <is>
          <t>16+</t>
        </is>
      </c>
      <c r="AA1015" s="12" t="n">
        <v>43649</v>
      </c>
      <c r="AB1015" s="1" t="inlineStr">
        <is>
          <t>Гуманитарные науки</t>
        </is>
      </c>
      <c r="AC1015" s="1" t="inlineStr">
        <is>
          <t>Психология</t>
        </is>
      </c>
      <c r="AD1015" s="1" t="inlineStr">
        <is>
          <t>Прикладная психология</t>
        </is>
      </c>
      <c r="AE1015" s="1" t="inlineStr">
        <is>
          <t>офсетная</t>
        </is>
      </c>
      <c r="AG1015" s="1" t="n">
        <v>9075720</v>
      </c>
      <c r="AI1015" s="1" t="inlineStr">
        <is>
          <t>4901990000</t>
        </is>
      </c>
      <c r="AJ1015" s="1" t="inlineStr">
        <is>
          <t>Зпв</t>
        </is>
      </c>
    </row>
    <row r="1016" customFormat="1" s="1">
      <c r="C1016" s="1" t="inlineStr">
        <is>
          <t xml:space="preserve">9794550             </t>
        </is>
      </c>
      <c r="D1016" s="1" t="inlineStr">
        <is>
          <t>Смех Арлекина</t>
        </is>
      </c>
      <c r="E1016" s="1" t="inlineStr">
        <is>
          <t>Исповедь, или Оля, Женя, Зоя. Чехов А.П</t>
        </is>
      </c>
      <c r="F1016" s="13" t="inlineStr">
        <is>
          <t>См.обл.</t>
        </is>
      </c>
      <c r="G1016" s="1" t="inlineStr">
        <is>
          <t>Чехов А.П.</t>
        </is>
      </c>
      <c r="H1016" s="1" t="inlineStr">
        <is>
          <t>84х108/32</t>
        </is>
      </c>
      <c r="I1016" s="1" t="n">
        <v>210</v>
      </c>
      <c r="J1016" s="1" t="inlineStr">
        <is>
          <t>РИПОЛ Классик</t>
        </is>
      </c>
      <c r="M1016" s="1" t="inlineStr">
        <is>
          <t>2021</t>
        </is>
      </c>
      <c r="N1016" s="1" t="inlineStr">
        <is>
          <t>П</t>
        </is>
      </c>
      <c r="O1016" s="9" t="n">
        <v>14</v>
      </c>
      <c r="P1016" s="1">
        <f>ROUNDUP(786.5*(1-$F$3),2)</f>
        <v/>
      </c>
      <c r="Q1016" s="1" t="inlineStr">
        <is>
          <t> </t>
        </is>
      </c>
      <c r="R1016" s="1" t="inlineStr">
        <is>
          <t>978-5-386-14422-7</t>
        </is>
      </c>
      <c r="S1016" s="1" t="inlineStr">
        <is>
          <t>9785386144227</t>
        </is>
      </c>
      <c r="T1016" s="9" t="n">
        <v>10</v>
      </c>
      <c r="U1016" s="1">
        <f>ROUNDUP(715*(1-$F$3),2)</f>
        <v/>
      </c>
      <c r="V1016" s="1" t="n">
        <v>271</v>
      </c>
      <c r="Y1016" s="1" t="inlineStr">
        <is>
          <t>Исповедь, или Оля, Женя, Зоя</t>
        </is>
      </c>
      <c r="Z1016" s="1" t="inlineStr">
        <is>
          <t>12+</t>
        </is>
      </c>
      <c r="AA1016" s="12" t="n">
        <v>44454</v>
      </c>
      <c r="AB1016" s="1" t="inlineStr">
        <is>
          <t>Художественная литература</t>
        </is>
      </c>
      <c r="AC1016" s="1" t="inlineStr">
        <is>
          <t>Русская литература</t>
        </is>
      </c>
      <c r="AD1016" s="1" t="inlineStr">
        <is>
          <t>Русская литература XVIII-нач. XX вв. (до 1917 г.)</t>
        </is>
      </c>
      <c r="AE1016" s="1" t="inlineStr">
        <is>
          <t>офсетная</t>
        </is>
      </c>
      <c r="AG1016" s="1" t="n">
        <v>9794550</v>
      </c>
      <c r="AI1016" s="1" t="inlineStr">
        <is>
          <t>4901990000</t>
        </is>
      </c>
    </row>
    <row r="1017" customFormat="1" s="1">
      <c r="C1017" s="1" t="inlineStr">
        <is>
          <t xml:space="preserve">11028400            </t>
        </is>
      </c>
      <c r="D1017" s="1" t="inlineStr">
        <is>
          <t>Смыслографика</t>
        </is>
      </c>
      <c r="E1017" s="1" t="inlineStr">
        <is>
          <t>Смыслографика: Основы создания презентаций для детей и взрослых. Ермолин А</t>
        </is>
      </c>
      <c r="F1017" s="13" t="inlineStr">
        <is>
          <t>См.обл.</t>
        </is>
      </c>
      <c r="G1017" s="1" t="inlineStr">
        <is>
          <t>Ермолин А</t>
        </is>
      </c>
      <c r="H1017" s="1" t="inlineStr">
        <is>
          <t>60х90/16</t>
        </is>
      </c>
      <c r="I1017" s="1" t="n">
        <v>192</v>
      </c>
      <c r="J1017" s="1" t="inlineStr">
        <is>
          <t>РИПОЛ Классик</t>
        </is>
      </c>
      <c r="M1017" s="1" t="inlineStr">
        <is>
          <t>2023</t>
        </is>
      </c>
      <c r="N1017" s="1" t="inlineStr">
        <is>
          <t>П</t>
        </is>
      </c>
      <c r="O1017" s="9" t="n">
        <v>10</v>
      </c>
      <c r="P1017" s="1">
        <f>ROUNDUP(1030*(1-$F$3),2)</f>
        <v/>
      </c>
      <c r="Q1017" s="1" t="inlineStr">
        <is>
          <t> </t>
        </is>
      </c>
      <c r="R1017" s="1" t="inlineStr">
        <is>
          <t>978-5-386-15041-9</t>
        </is>
      </c>
      <c r="S1017" s="1" t="inlineStr">
        <is>
          <t>9785386150419</t>
        </is>
      </c>
      <c r="T1017" s="9" t="n">
        <v>10</v>
      </c>
      <c r="U1017" s="1">
        <f>ROUNDUP(936.36*(1-$F$3),2)</f>
        <v/>
      </c>
      <c r="V1017" s="1" t="n">
        <v>358</v>
      </c>
      <c r="Y1017" s="1" t="inlineStr">
        <is>
          <t>Смыслографика: Основы создания презентаций для детей и взрослых</t>
        </is>
      </c>
      <c r="Z1017" s="1" t="inlineStr">
        <is>
          <t>12+</t>
        </is>
      </c>
      <c r="AA1017" s="12" t="n">
        <v>45167</v>
      </c>
      <c r="AB1017" s="1" t="inlineStr">
        <is>
          <t>Детская литература</t>
        </is>
      </c>
      <c r="AC1017" s="1" t="inlineStr">
        <is>
          <t>Познавательная литература для детей</t>
        </is>
      </c>
      <c r="AD1017" s="1" t="inlineStr">
        <is>
          <t>Информатика. Робототехника</t>
        </is>
      </c>
      <c r="AE1017" s="1" t="inlineStr">
        <is>
          <t>офсетная</t>
        </is>
      </c>
      <c r="AG1017" s="1" t="n">
        <v>11028400</v>
      </c>
      <c r="AI1017" s="1" t="inlineStr">
        <is>
          <t>4901990000</t>
        </is>
      </c>
    </row>
    <row r="1018" customFormat="1" s="1">
      <c r="C1018" s="1" t="inlineStr">
        <is>
          <t xml:space="preserve">11379920            </t>
        </is>
      </c>
      <c r="D1018" s="1" t="inlineStr">
        <is>
          <t>Собрание сочинений</t>
        </is>
      </c>
      <c r="E1018" s="1" t="inlineStr">
        <is>
          <t>Вечера на хуторе близ Диканьки. Гоголь Н.В.</t>
        </is>
      </c>
      <c r="F1018" s="13" t="inlineStr">
        <is>
          <t>См.обл.</t>
        </is>
      </c>
      <c r="G1018" s="1" t="inlineStr">
        <is>
          <t>Гоголь Н.В.</t>
        </is>
      </c>
      <c r="H1018" s="1" t="inlineStr">
        <is>
          <t>60х90/16</t>
        </is>
      </c>
      <c r="I1018" s="1" t="n">
        <v>312</v>
      </c>
      <c r="J1018" s="1" t="inlineStr">
        <is>
          <t>РИПОЛ Классик</t>
        </is>
      </c>
      <c r="M1018" s="1" t="inlineStr">
        <is>
          <t>2025</t>
        </is>
      </c>
      <c r="N1018" s="1" t="inlineStr">
        <is>
          <t>П</t>
        </is>
      </c>
      <c r="O1018" s="9" t="n">
        <v>5</v>
      </c>
      <c r="P1018" s="1">
        <f>ROUNDUP(1000*(1-$F$3),2)</f>
        <v/>
      </c>
      <c r="Q1018" s="1" t="inlineStr">
        <is>
          <t> </t>
        </is>
      </c>
      <c r="R1018" s="1" t="inlineStr">
        <is>
          <t>978-5-386-15220-8</t>
        </is>
      </c>
      <c r="S1018" s="1" t="inlineStr">
        <is>
          <t>9785386152208</t>
        </is>
      </c>
      <c r="T1018" s="9" t="n">
        <v>10</v>
      </c>
      <c r="U1018" s="1">
        <f>ROUNDUP(909.09*(1-$F$3),2)</f>
        <v/>
      </c>
      <c r="V1018" s="1" t="n">
        <v>368</v>
      </c>
      <c r="Y1018" s="1" t="inlineStr">
        <is>
          <t>Вечера на хуторе близ Диканьки</t>
        </is>
      </c>
      <c r="Z1018" s="1" t="inlineStr">
        <is>
          <t>12+</t>
        </is>
      </c>
      <c r="AA1018" s="12" t="n">
        <v>45454</v>
      </c>
      <c r="AB1018" s="1" t="inlineStr">
        <is>
          <t>Художественная литература</t>
        </is>
      </c>
      <c r="AC1018" s="1" t="inlineStr">
        <is>
          <t>Русская литература</t>
        </is>
      </c>
      <c r="AD1018" s="1" t="inlineStr">
        <is>
          <t>Русская литература XVIII-нач. XX вв. (до 1917 г.)</t>
        </is>
      </c>
      <c r="AE1018" s="1" t="inlineStr">
        <is>
          <t>офсетная</t>
        </is>
      </c>
      <c r="AG1018" s="1" t="n">
        <v>11379920</v>
      </c>
      <c r="AI1018" s="1" t="inlineStr">
        <is>
          <t>4901990000</t>
        </is>
      </c>
    </row>
    <row r="1019" customFormat="1" s="1">
      <c r="C1019" s="1" t="inlineStr">
        <is>
          <t xml:space="preserve">10384370            </t>
        </is>
      </c>
      <c r="D1019" s="1" t="inlineStr">
        <is>
          <t>Собрание сочинений</t>
        </is>
      </c>
      <c r="E1019" s="1" t="inlineStr">
        <is>
          <t>Вечера на хуторе близ Диканьки. Т. 1. Гоголь Н.В.</t>
        </is>
      </c>
      <c r="F1019" s="13" t="inlineStr">
        <is>
          <t>См.обл.</t>
        </is>
      </c>
      <c r="G1019" s="1" t="inlineStr">
        <is>
          <t>Гоголь Н.В.</t>
        </is>
      </c>
      <c r="H1019" s="1" t="inlineStr">
        <is>
          <t>60х90/16</t>
        </is>
      </c>
      <c r="I1019" s="1" t="n">
        <v>260</v>
      </c>
      <c r="J1019" s="1" t="inlineStr">
        <is>
          <t>РИПОЛ Классик</t>
        </is>
      </c>
      <c r="K1019" s="1" t="inlineStr">
        <is>
          <t>RUGRAM_РИПОЛ Классик</t>
        </is>
      </c>
      <c r="M1019" s="1" t="inlineStr">
        <is>
          <t>2026</t>
        </is>
      </c>
      <c r="N1019" s="1" t="inlineStr">
        <is>
          <t>П</t>
        </is>
      </c>
      <c r="O1019" s="9" t="n">
        <v>14</v>
      </c>
      <c r="P1019" s="1">
        <f>ROUNDUP(1028.5*(1-$F$3),2)</f>
        <v/>
      </c>
      <c r="Q1019" s="1" t="inlineStr">
        <is>
          <t> </t>
        </is>
      </c>
      <c r="R1019" s="1" t="inlineStr">
        <is>
          <t>978-5-386-14713-6</t>
        </is>
      </c>
      <c r="S1019" s="1" t="inlineStr">
        <is>
          <t>9785386147136</t>
        </is>
      </c>
      <c r="T1019" s="9" t="n">
        <v>10</v>
      </c>
      <c r="U1019" s="1">
        <f>ROUNDUP(935*(1-$F$3),2)</f>
        <v/>
      </c>
      <c r="V1019" s="1" t="n">
        <v>373</v>
      </c>
      <c r="Y1019" s="1" t="inlineStr">
        <is>
          <t>Вечера на хуторе близ Диканьки. Т. 1</t>
        </is>
      </c>
      <c r="Z1019" s="1" t="inlineStr">
        <is>
          <t>12+</t>
        </is>
      </c>
      <c r="AA1019" s="12" t="n">
        <v>44642</v>
      </c>
      <c r="AB1019" s="1" t="inlineStr">
        <is>
          <t>Художественная литература</t>
        </is>
      </c>
      <c r="AC1019" s="1" t="inlineStr">
        <is>
          <t>Русская литература</t>
        </is>
      </c>
      <c r="AD1019" s="1" t="inlineStr">
        <is>
          <t>Русская литература XVIII-нач. XX вв. (до 1917 г.)</t>
        </is>
      </c>
      <c r="AE1019" s="1" t="inlineStr">
        <is>
          <t>офсетная</t>
        </is>
      </c>
      <c r="AG1019" s="1" t="n">
        <v>10384370</v>
      </c>
      <c r="AI1019" s="1" t="inlineStr">
        <is>
          <t>4901990000</t>
        </is>
      </c>
    </row>
    <row r="1020" customFormat="1" s="1">
      <c r="C1020" s="1" t="inlineStr">
        <is>
          <t>11012630</t>
        </is>
      </c>
      <c r="D1020" s="1" t="inlineStr">
        <is>
          <t>Собрание сочинений</t>
        </is>
      </c>
      <c r="E1020" s="1" t="inlineStr">
        <is>
          <t>Вихрь: В 3 т (комплект). Беннинг А.</t>
        </is>
      </c>
      <c r="F1020" s="13" t="inlineStr">
        <is>
          <t>См.обл.</t>
        </is>
      </c>
      <c r="G1020" s="1" t="inlineStr">
        <is>
          <t>Беннинг А.</t>
        </is>
      </c>
      <c r="H1020" s="1" t="inlineStr">
        <is>
          <t>60х90/16</t>
        </is>
      </c>
      <c r="I1020" s="1" t="n">
        <v>1472</v>
      </c>
      <c r="J1020" s="1" t="inlineStr">
        <is>
          <t>РИПОЛ Классик</t>
        </is>
      </c>
      <c r="M1020" s="1" t="inlineStr">
        <is>
          <t>2023</t>
        </is>
      </c>
      <c r="N1020" s="1" t="inlineStr">
        <is>
          <t>П</t>
        </is>
      </c>
      <c r="O1020" s="9" t="n"/>
      <c r="P1020" s="1">
        <f>ROUNDUP(3480*(1-$F$3),2)</f>
        <v/>
      </c>
      <c r="Q1020" s="1" t="inlineStr">
        <is>
          <t> </t>
        </is>
      </c>
      <c r="R1020" s="1" t="inlineStr">
        <is>
          <t>978-5-521-80561-7</t>
        </is>
      </c>
      <c r="S1020" s="1" t="inlineStr">
        <is>
          <t>9785521805617</t>
        </is>
      </c>
      <c r="T1020" s="9" t="n">
        <v>10</v>
      </c>
      <c r="U1020" s="1">
        <f>ROUNDUP(3163.64*(1-$F$3),2)</f>
        <v/>
      </c>
      <c r="V1020" s="1" t="n">
        <v>1784</v>
      </c>
      <c r="Y1020" s="1" t="inlineStr">
        <is>
          <t>Вихрь: В 3 т (комплект)</t>
        </is>
      </c>
      <c r="Z1020" s="1" t="inlineStr">
        <is>
          <t>16+</t>
        </is>
      </c>
      <c r="AA1020" s="12" t="n">
        <v>45126</v>
      </c>
      <c r="AB1020" s="1" t="inlineStr">
        <is>
          <t>Художественная литература</t>
        </is>
      </c>
      <c r="AC1020" s="1" t="inlineStr">
        <is>
          <t>Фантастика. Мистика. Ужасы</t>
        </is>
      </c>
      <c r="AD1020" s="1" t="inlineStr">
        <is>
          <t>Фэнтези</t>
        </is>
      </c>
      <c r="AE1020" s="1" t="inlineStr">
        <is>
          <t>офсетная</t>
        </is>
      </c>
      <c r="AG1020" s="1" t="n">
        <v>11012630</v>
      </c>
      <c r="AI1020" s="1" t="inlineStr">
        <is>
          <t>4901990000</t>
        </is>
      </c>
    </row>
    <row r="1021" customFormat="1" s="1">
      <c r="C1021" s="1" t="inlineStr">
        <is>
          <t xml:space="preserve">11073730            </t>
        </is>
      </c>
      <c r="D1021" s="1" t="inlineStr">
        <is>
          <t>Собрание сочинений</t>
        </is>
      </c>
      <c r="E1021" s="1" t="inlineStr">
        <is>
          <t>Данелия. Комплект 3 книги. Данелия Г.Н.</t>
        </is>
      </c>
      <c r="F1021" s="13" t="inlineStr">
        <is>
          <t>См.обл.</t>
        </is>
      </c>
      <c r="G1021" s="1" t="inlineStr">
        <is>
          <t>Данелия Г.Н.</t>
        </is>
      </c>
      <c r="H1021" s="1" t="inlineStr">
        <is>
          <t>60х90/16</t>
        </is>
      </c>
      <c r="I1021" s="1" t="n">
        <v>1312</v>
      </c>
      <c r="J1021" s="1" t="inlineStr">
        <is>
          <t>РИПОЛ Классик</t>
        </is>
      </c>
      <c r="M1021" s="1" t="inlineStr">
        <is>
          <t>2026</t>
        </is>
      </c>
      <c r="N1021" s="1" t="inlineStr">
        <is>
          <t>П</t>
        </is>
      </c>
      <c r="O1021" s="9" t="n">
        <v>1</v>
      </c>
      <c r="P1021" s="1">
        <f>ROUNDUP(3780*(1-$F$3),2)</f>
        <v/>
      </c>
      <c r="Q1021" s="1" t="inlineStr">
        <is>
          <t> </t>
        </is>
      </c>
      <c r="R1021" s="1" t="inlineStr">
        <is>
          <t>978-5-386-15087-7</t>
        </is>
      </c>
      <c r="S1021" s="1" t="inlineStr">
        <is>
          <t>9785386150877</t>
        </is>
      </c>
      <c r="T1021" s="9" t="n">
        <v>10</v>
      </c>
      <c r="U1021" s="1">
        <f>ROUNDUP(3436.36*(1-$F$3),2)</f>
        <v/>
      </c>
      <c r="V1021" s="1" t="n">
        <v>1669</v>
      </c>
      <c r="Y1021" s="1" t="inlineStr">
        <is>
          <t>Данелия. Комплект 3 книги</t>
        </is>
      </c>
      <c r="Z1021" s="1" t="inlineStr">
        <is>
          <t>16+</t>
        </is>
      </c>
      <c r="AA1021" s="12" t="n">
        <v>45215</v>
      </c>
      <c r="AB1021" s="1" t="inlineStr">
        <is>
          <t>Художественно-документальная проза</t>
        </is>
      </c>
      <c r="AC1021" s="1" t="inlineStr">
        <is>
          <t>Биографии. Мемуары</t>
        </is>
      </c>
      <c r="AD1021" s="1" t="inlineStr">
        <is>
          <t>Воспоминания. Дневники. Письма</t>
        </is>
      </c>
      <c r="AE1021" s="1" t="inlineStr">
        <is>
          <t>офсетная</t>
        </is>
      </c>
      <c r="AG1021" s="1" t="n">
        <v>11073730</v>
      </c>
      <c r="AI1021" s="1" t="inlineStr">
        <is>
          <t>4901990000</t>
        </is>
      </c>
    </row>
    <row r="1022" customFormat="1" s="1">
      <c r="C1022" s="1" t="inlineStr">
        <is>
          <t>11480110</t>
        </is>
      </c>
      <c r="D1022" s="1" t="inlineStr">
        <is>
          <t>Собрание сочинений</t>
        </is>
      </c>
      <c r="E1022" s="1" t="inlineStr">
        <is>
          <t>Достоевский Ф.М. С/с: В 12 т: комплект. Достоевский Ф.М.</t>
        </is>
      </c>
      <c r="F1022" s="13" t="inlineStr">
        <is>
          <t>См.обл.</t>
        </is>
      </c>
      <c r="G1022" s="1" t="inlineStr">
        <is>
          <t>Достоевский Ф.М.</t>
        </is>
      </c>
      <c r="H1022" s="1" t="inlineStr">
        <is>
          <t>60х90/16</t>
        </is>
      </c>
      <c r="I1022" s="1" t="n">
        <v>5432</v>
      </c>
      <c r="J1022" s="1" t="inlineStr">
        <is>
          <t>РИПОЛ Классик</t>
        </is>
      </c>
      <c r="M1022" s="1" t="inlineStr">
        <is>
          <t>2026</t>
        </is>
      </c>
      <c r="N1022" s="1" t="inlineStr">
        <is>
          <t>П</t>
        </is>
      </c>
      <c r="O1022" s="9" t="n"/>
      <c r="P1022" s="1">
        <f>ROUNDUP(9600*(1-$F$3),2)</f>
        <v/>
      </c>
      <c r="Q1022" s="1" t="inlineStr">
        <is>
          <t> </t>
        </is>
      </c>
      <c r="R1022" s="1" t="inlineStr">
        <is>
          <t>978-5-521-83629-1</t>
        </is>
      </c>
      <c r="S1022" s="1" t="inlineStr">
        <is>
          <t>9785521836291</t>
        </is>
      </c>
      <c r="T1022" s="9" t="n">
        <v>10</v>
      </c>
      <c r="U1022" s="1">
        <f>ROUNDUP(8727.27*(1-$F$3),2)</f>
        <v/>
      </c>
      <c r="V1022" s="1" t="n">
        <v>6591</v>
      </c>
      <c r="Y1022" s="1" t="inlineStr">
        <is>
          <t>Достоевский Ф.М. С/с: В 12 т: комплект</t>
        </is>
      </c>
      <c r="Z1022" s="1" t="inlineStr">
        <is>
          <t>16+</t>
        </is>
      </c>
      <c r="AA1022" s="12" t="n">
        <v>45546</v>
      </c>
      <c r="AB1022" s="1" t="inlineStr">
        <is>
          <t>Художественная литература</t>
        </is>
      </c>
      <c r="AC1022" s="1" t="inlineStr">
        <is>
          <t>Русская литература</t>
        </is>
      </c>
      <c r="AD1022" s="1" t="inlineStr">
        <is>
          <t>Русская литература XVIII-нач. XX вв. (до 1917 г.)</t>
        </is>
      </c>
      <c r="AE1022" s="1" t="inlineStr">
        <is>
          <t>офсетная</t>
        </is>
      </c>
      <c r="AG1022" s="1" t="n">
        <v>11480110</v>
      </c>
      <c r="AI1022" s="1" t="inlineStr">
        <is>
          <t>4901990000</t>
        </is>
      </c>
    </row>
    <row r="1023" customFormat="1" s="1">
      <c r="C1023" s="1" t="inlineStr">
        <is>
          <t xml:space="preserve">10384400            </t>
        </is>
      </c>
      <c r="D1023" s="1" t="inlineStr">
        <is>
          <t>Собрание сочинений</t>
        </is>
      </c>
      <c r="E1023" s="1" t="inlineStr">
        <is>
          <t>Женитьба. Т. 4. Гоголь Н.В.</t>
        </is>
      </c>
      <c r="F1023" s="13" t="inlineStr">
        <is>
          <t>См.обл.</t>
        </is>
      </c>
      <c r="G1023" s="1" t="inlineStr">
        <is>
          <t>Гоголь Н.В.</t>
        </is>
      </c>
      <c r="H1023" s="1" t="inlineStr">
        <is>
          <t>60х90/16</t>
        </is>
      </c>
      <c r="I1023" s="1" t="n">
        <v>268</v>
      </c>
      <c r="J1023" s="1" t="inlineStr">
        <is>
          <t>РИПОЛ Классик</t>
        </is>
      </c>
      <c r="K1023" s="1" t="inlineStr">
        <is>
          <t>RUGRAM_РИПОЛ Классик</t>
        </is>
      </c>
      <c r="M1023" s="1" t="inlineStr">
        <is>
          <t>2026</t>
        </is>
      </c>
      <c r="N1023" s="1" t="inlineStr">
        <is>
          <t>П</t>
        </is>
      </c>
      <c r="O1023" s="9" t="n">
        <v>14</v>
      </c>
      <c r="P1023" s="1">
        <f>ROUNDUP(1028.5*(1-$F$3),2)</f>
        <v/>
      </c>
      <c r="Q1023" s="1" t="inlineStr">
        <is>
          <t> </t>
        </is>
      </c>
      <c r="R1023" s="1" t="inlineStr">
        <is>
          <t>978-5-386-14717-4</t>
        </is>
      </c>
      <c r="S1023" s="1" t="inlineStr">
        <is>
          <t>9785386147174</t>
        </is>
      </c>
      <c r="T1023" s="9" t="n">
        <v>10</v>
      </c>
      <c r="U1023" s="1">
        <f>ROUNDUP(935*(1-$F$3),2)</f>
        <v/>
      </c>
      <c r="V1023" s="1" t="n">
        <v>384</v>
      </c>
      <c r="Y1023" s="1" t="inlineStr">
        <is>
          <t>Женитьба. Т. 4</t>
        </is>
      </c>
      <c r="Z1023" s="1" t="inlineStr">
        <is>
          <t>12+</t>
        </is>
      </c>
      <c r="AA1023" s="12" t="n">
        <v>44643</v>
      </c>
      <c r="AB1023" s="1" t="inlineStr">
        <is>
          <t>Художественная литература</t>
        </is>
      </c>
      <c r="AC1023" s="1" t="inlineStr">
        <is>
          <t>Русская литература</t>
        </is>
      </c>
      <c r="AD1023" s="1" t="inlineStr">
        <is>
          <t>Русская литература XVIII-нач. XX вв. (до 1917 г.)</t>
        </is>
      </c>
      <c r="AE1023" s="1" t="inlineStr">
        <is>
          <t>офсетная</t>
        </is>
      </c>
      <c r="AG1023" s="1" t="n">
        <v>10384400</v>
      </c>
      <c r="AI1023" s="1" t="inlineStr">
        <is>
          <t>4901990000</t>
        </is>
      </c>
    </row>
    <row r="1024" customFormat="1" s="1">
      <c r="C1024" s="1" t="inlineStr">
        <is>
          <t xml:space="preserve">11004010            </t>
        </is>
      </c>
      <c r="D1024" s="1" t="inlineStr">
        <is>
          <t>Собрание сочинений</t>
        </is>
      </c>
      <c r="E1024" s="1" t="inlineStr">
        <is>
          <t>Записки юного врача: рассказы. Булгаков М.А.</t>
        </is>
      </c>
      <c r="F1024" s="13" t="inlineStr">
        <is>
          <t>См.обл.</t>
        </is>
      </c>
      <c r="G1024" s="1" t="inlineStr">
        <is>
          <t>Булгаков М.А.</t>
        </is>
      </c>
      <c r="H1024" s="1" t="inlineStr">
        <is>
          <t>60х90/16</t>
        </is>
      </c>
      <c r="I1024" s="1" t="n">
        <v>224</v>
      </c>
      <c r="J1024" s="1" t="inlineStr">
        <is>
          <t>РИПОЛ Классик</t>
        </is>
      </c>
      <c r="M1024" s="1" t="inlineStr">
        <is>
          <t>2026</t>
        </is>
      </c>
      <c r="N1024" s="1" t="inlineStr">
        <is>
          <t>П</t>
        </is>
      </c>
      <c r="O1024" s="9" t="n">
        <v>10</v>
      </c>
      <c r="P1024" s="1">
        <f>ROUNDUP(960*(1-$F$3),2)</f>
        <v/>
      </c>
      <c r="Q1024" s="1" t="inlineStr">
        <is>
          <t> </t>
        </is>
      </c>
      <c r="R1024" s="1" t="inlineStr">
        <is>
          <t>978-5-386-14980-2</t>
        </is>
      </c>
      <c r="S1024" s="1" t="inlineStr">
        <is>
          <t>9785386149802</t>
        </is>
      </c>
      <c r="T1024" s="9" t="n">
        <v>10</v>
      </c>
      <c r="U1024" s="1">
        <f>ROUNDUP(872.73*(1-$F$3),2)</f>
        <v/>
      </c>
      <c r="V1024" s="1" t="n">
        <v>361</v>
      </c>
      <c r="Y1024" s="1" t="inlineStr">
        <is>
          <t>Записки юного врача: рассказы</t>
        </is>
      </c>
      <c r="Z1024" s="1" t="inlineStr">
        <is>
          <t>16+</t>
        </is>
      </c>
      <c r="AA1024" s="12" t="n">
        <v>45143</v>
      </c>
      <c r="AB1024" s="1" t="inlineStr">
        <is>
          <t>Художественная литература</t>
        </is>
      </c>
      <c r="AC1024" s="1" t="inlineStr">
        <is>
          <t>Русская литература</t>
        </is>
      </c>
      <c r="AD1024" s="1" t="inlineStr">
        <is>
          <t>Русская литература советского периода (1917-1991 гг.)</t>
        </is>
      </c>
      <c r="AE1024" s="1" t="inlineStr">
        <is>
          <t>офсетная</t>
        </is>
      </c>
      <c r="AG1024" s="1" t="n">
        <v>11004010</v>
      </c>
      <c r="AI1024" s="1" t="inlineStr">
        <is>
          <t>4901990000</t>
        </is>
      </c>
    </row>
    <row r="1025" customFormat="1" s="1">
      <c r="C1025" s="1" t="inlineStr">
        <is>
          <t xml:space="preserve">10390970            </t>
        </is>
      </c>
      <c r="D1025" s="1" t="inlineStr">
        <is>
          <t>Собрание сочинений</t>
        </is>
      </c>
      <c r="E1025" s="1" t="inlineStr">
        <is>
          <t>Избранная переписка. Т. 7. Гоголь Н.В.</t>
        </is>
      </c>
      <c r="F1025" s="13" t="inlineStr">
        <is>
          <t>См.обл.</t>
        </is>
      </c>
      <c r="G1025" s="1" t="inlineStr">
        <is>
          <t>Гоголь Н.В.</t>
        </is>
      </c>
      <c r="H1025" s="1" t="inlineStr">
        <is>
          <t>60х90/16</t>
        </is>
      </c>
      <c r="I1025" s="1" t="n">
        <v>238</v>
      </c>
      <c r="J1025" s="1" t="inlineStr">
        <is>
          <t>РИПОЛ Классик</t>
        </is>
      </c>
      <c r="M1025" s="1" t="inlineStr">
        <is>
          <t>2026</t>
        </is>
      </c>
      <c r="N1025" s="1" t="inlineStr">
        <is>
          <t>П</t>
        </is>
      </c>
      <c r="O1025" s="9" t="n">
        <v>16</v>
      </c>
      <c r="P1025" s="1">
        <f>ROUNDUP(1160.4*(1-$F$3),2)</f>
        <v/>
      </c>
      <c r="Q1025" s="1" t="inlineStr">
        <is>
          <t> </t>
        </is>
      </c>
      <c r="R1025" s="1" t="inlineStr">
        <is>
          <t>978-5-386-14737-2</t>
        </is>
      </c>
      <c r="S1025" s="1" t="inlineStr">
        <is>
          <t>9785386147372</t>
        </is>
      </c>
      <c r="T1025" s="9" t="n">
        <v>10</v>
      </c>
      <c r="U1025" s="1">
        <f>ROUNDUP(1054.91*(1-$F$3),2)</f>
        <v/>
      </c>
      <c r="V1025" s="1" t="n">
        <v>359</v>
      </c>
      <c r="Y1025" s="1" t="inlineStr">
        <is>
          <t>Избранная переписка. Т. 7</t>
        </is>
      </c>
      <c r="Z1025" s="1" t="inlineStr">
        <is>
          <t>12+</t>
        </is>
      </c>
      <c r="AA1025" s="12" t="n">
        <v>44672</v>
      </c>
      <c r="AB1025" s="1" t="inlineStr">
        <is>
          <t>Художественная литература</t>
        </is>
      </c>
      <c r="AC1025" s="1" t="inlineStr">
        <is>
          <t>Русская литература</t>
        </is>
      </c>
      <c r="AD1025" s="1" t="inlineStr">
        <is>
          <t>Русская литература XVIII-нач. XX вв. (до 1917 г.)</t>
        </is>
      </c>
      <c r="AE1025" s="1" t="inlineStr">
        <is>
          <t>офсетная</t>
        </is>
      </c>
      <c r="AG1025" s="1" t="n">
        <v>10390970</v>
      </c>
      <c r="AI1025" s="1" t="inlineStr">
        <is>
          <t>4901990000</t>
        </is>
      </c>
    </row>
    <row r="1026" customFormat="1" s="1">
      <c r="C1026" s="1" t="inlineStr">
        <is>
          <t>9743250</t>
        </is>
      </c>
      <c r="D1026" s="1" t="inlineStr">
        <is>
          <t>Собрание сочинений</t>
        </is>
      </c>
      <c r="E1026" s="1" t="inlineStr">
        <is>
          <t>История гос-ва Российского: В 12-ти тт. с комментариями. Карамзин Н.М.</t>
        </is>
      </c>
      <c r="F1026" s="13" t="inlineStr">
        <is>
          <t>См.обл.</t>
        </is>
      </c>
      <c r="G1026" s="1" t="inlineStr">
        <is>
          <t>Карамзин Н.М.</t>
        </is>
      </c>
      <c r="H1026" s="1" t="inlineStr">
        <is>
          <t>60х90/16</t>
        </is>
      </c>
      <c r="I1026" s="1" t="n">
        <v>4960</v>
      </c>
      <c r="J1026" s="1" t="inlineStr">
        <is>
          <t>РИПОЛ Классик</t>
        </is>
      </c>
      <c r="M1026" s="1" t="inlineStr">
        <is>
          <t>2024</t>
        </is>
      </c>
      <c r="N1026" s="1" t="inlineStr">
        <is>
          <t>П</t>
        </is>
      </c>
      <c r="O1026" s="9" t="n">
        <v>1</v>
      </c>
      <c r="P1026" s="1">
        <f>ROUNDUP(11940*(1-$F$3),2)</f>
        <v/>
      </c>
      <c r="Q1026" s="1" t="inlineStr">
        <is>
          <t> </t>
        </is>
      </c>
      <c r="R1026" s="1" t="inlineStr">
        <is>
          <t>978-5-386-14398-5</t>
        </is>
      </c>
      <c r="S1026" s="1" t="inlineStr">
        <is>
          <t>9785386143985</t>
        </is>
      </c>
      <c r="T1026" s="9" t="n">
        <v>10</v>
      </c>
      <c r="U1026" s="1">
        <f>ROUNDUP(10854.55*(1-$F$3),2)</f>
        <v/>
      </c>
      <c r="V1026" s="1" t="n">
        <v>6429</v>
      </c>
      <c r="Y1026" s="1" t="inlineStr">
        <is>
          <t>История гос-ва Российского: В 12-ти тт. с комментариями</t>
        </is>
      </c>
      <c r="Z1026" s="1" t="inlineStr">
        <is>
          <t>12+</t>
        </is>
      </c>
      <c r="AA1026" s="12" t="n">
        <v>44356</v>
      </c>
      <c r="AB1026" s="1" t="inlineStr">
        <is>
          <t>Гуманитарные науки</t>
        </is>
      </c>
      <c r="AC1026" s="1" t="inlineStr">
        <is>
          <t>История</t>
        </is>
      </c>
      <c r="AD1026" s="1" t="inlineStr">
        <is>
          <t>История России</t>
        </is>
      </c>
      <c r="AE1026" s="1" t="inlineStr">
        <is>
          <t>офсетная</t>
        </is>
      </c>
      <c r="AG1026" s="1" t="n">
        <v>9743250</v>
      </c>
      <c r="AI1026" s="1" t="inlineStr">
        <is>
          <t>4901990000</t>
        </is>
      </c>
    </row>
    <row r="1027" customFormat="1" s="1">
      <c r="C1027" s="1" t="inlineStr">
        <is>
          <t xml:space="preserve">10384350            </t>
        </is>
      </c>
      <c r="D1027" s="1" t="inlineStr">
        <is>
          <t>Собрание сочинений</t>
        </is>
      </c>
      <c r="E1027" s="1" t="inlineStr">
        <is>
          <t>Мертвые души. Т. 5. Кн. 1. Гоголь Н.В.</t>
        </is>
      </c>
      <c r="F1027" s="13" t="inlineStr">
        <is>
          <t>См.обл.</t>
        </is>
      </c>
      <c r="G1027" s="1" t="inlineStr">
        <is>
          <t>Гоголь Н.В.</t>
        </is>
      </c>
      <c r="H1027" s="1" t="inlineStr">
        <is>
          <t>60х90/16</t>
        </is>
      </c>
      <c r="I1027" s="1" t="n">
        <v>236</v>
      </c>
      <c r="J1027" s="1" t="inlineStr">
        <is>
          <t>РИПОЛ Классик</t>
        </is>
      </c>
      <c r="M1027" s="1" t="inlineStr">
        <is>
          <t>2026</t>
        </is>
      </c>
      <c r="N1027" s="1" t="inlineStr">
        <is>
          <t>П</t>
        </is>
      </c>
      <c r="O1027" s="9" t="n">
        <v>16</v>
      </c>
      <c r="P1027" s="1">
        <f>ROUNDUP(1160.4*(1-$F$3),2)</f>
        <v/>
      </c>
      <c r="Q1027" s="1" t="inlineStr">
        <is>
          <t> </t>
        </is>
      </c>
      <c r="R1027" s="1" t="inlineStr">
        <is>
          <t>978-5-386-14725-9</t>
        </is>
      </c>
      <c r="S1027" s="1" t="inlineStr">
        <is>
          <t>9785386147259</t>
        </is>
      </c>
      <c r="T1027" s="9" t="n">
        <v>10</v>
      </c>
      <c r="U1027" s="1">
        <f>ROUNDUP(1054.91*(1-$F$3),2)</f>
        <v/>
      </c>
      <c r="V1027" s="1" t="n">
        <v>356</v>
      </c>
      <c r="Y1027" s="1" t="inlineStr">
        <is>
          <t>Мертвые души. Т. 5. Кн. 1</t>
        </is>
      </c>
      <c r="Z1027" s="1" t="inlineStr">
        <is>
          <t>12+</t>
        </is>
      </c>
      <c r="AA1027" s="12" t="n">
        <v>44672</v>
      </c>
      <c r="AB1027" s="1" t="inlineStr">
        <is>
          <t>Художественная литература</t>
        </is>
      </c>
      <c r="AC1027" s="1" t="inlineStr">
        <is>
          <t>Русская литература</t>
        </is>
      </c>
      <c r="AD1027" s="1" t="inlineStr">
        <is>
          <t>Русская литература XVIII-нач. XX вв. (до 1917 г.)</t>
        </is>
      </c>
      <c r="AE1027" s="1" t="inlineStr">
        <is>
          <t>офсетная</t>
        </is>
      </c>
      <c r="AG1027" s="1" t="n">
        <v>10384350</v>
      </c>
      <c r="AI1027" s="1" t="inlineStr">
        <is>
          <t>4901990000</t>
        </is>
      </c>
    </row>
    <row r="1028" customFormat="1" s="1">
      <c r="C1028" s="1" t="inlineStr">
        <is>
          <t xml:space="preserve">10384360            </t>
        </is>
      </c>
      <c r="D1028" s="1" t="inlineStr">
        <is>
          <t>Собрание сочинений</t>
        </is>
      </c>
      <c r="E1028" s="1" t="inlineStr">
        <is>
          <t>Мертвые души. Т. 6. Кн. 2. Гоголь Н.В.</t>
        </is>
      </c>
      <c r="F1028" s="13" t="inlineStr">
        <is>
          <t>См.обл.</t>
        </is>
      </c>
      <c r="G1028" s="1" t="inlineStr">
        <is>
          <t>Гоголь Н.В.</t>
        </is>
      </c>
      <c r="H1028" s="1" t="inlineStr">
        <is>
          <t>60х90/16</t>
        </is>
      </c>
      <c r="I1028" s="1" t="n">
        <v>242</v>
      </c>
      <c r="J1028" s="1" t="inlineStr">
        <is>
          <t>РИПОЛ Классик</t>
        </is>
      </c>
      <c r="M1028" s="1" t="inlineStr">
        <is>
          <t>2026</t>
        </is>
      </c>
      <c r="N1028" s="1" t="inlineStr">
        <is>
          <t>П</t>
        </is>
      </c>
      <c r="O1028" s="9" t="n">
        <v>14</v>
      </c>
      <c r="P1028" s="1">
        <f>ROUNDUP(1160.4*(1-$F$3),2)</f>
        <v/>
      </c>
      <c r="Q1028" s="1" t="inlineStr">
        <is>
          <t> </t>
        </is>
      </c>
      <c r="R1028" s="1" t="inlineStr">
        <is>
          <t>978-5-386-14731-0</t>
        </is>
      </c>
      <c r="S1028" s="1" t="inlineStr">
        <is>
          <t>9785386147310</t>
        </is>
      </c>
      <c r="T1028" s="9" t="n">
        <v>10</v>
      </c>
      <c r="U1028" s="1">
        <f>ROUNDUP(1054.91*(1-$F$3),2)</f>
        <v/>
      </c>
      <c r="V1028" s="1" t="n">
        <v>359</v>
      </c>
      <c r="Y1028" s="1" t="inlineStr">
        <is>
          <t>Мертвые души. Т. 6. Кн. 2</t>
        </is>
      </c>
      <c r="Z1028" s="1" t="inlineStr">
        <is>
          <t>12+</t>
        </is>
      </c>
      <c r="AA1028" s="12" t="n">
        <v>44704</v>
      </c>
      <c r="AB1028" s="1" t="inlineStr">
        <is>
          <t>Художественная литература</t>
        </is>
      </c>
      <c r="AC1028" s="1" t="inlineStr">
        <is>
          <t>Русская литература</t>
        </is>
      </c>
      <c r="AD1028" s="1" t="inlineStr">
        <is>
          <t>Русская литература XVIII-нач. XX вв. (до 1917 г.)</t>
        </is>
      </c>
      <c r="AE1028" s="1" t="inlineStr">
        <is>
          <t>офсетная</t>
        </is>
      </c>
      <c r="AG1028" s="1" t="n">
        <v>10384360</v>
      </c>
      <c r="AI1028" s="1" t="inlineStr">
        <is>
          <t>4901990000</t>
        </is>
      </c>
    </row>
    <row r="1029" customFormat="1" s="1">
      <c r="C1029" s="1" t="inlineStr">
        <is>
          <t xml:space="preserve">11380000            </t>
        </is>
      </c>
      <c r="D1029" s="1" t="inlineStr">
        <is>
          <t>Собрание сочинений</t>
        </is>
      </c>
      <c r="E1029" s="1" t="inlineStr">
        <is>
          <t>Миргород. Гоголь Н.В.</t>
        </is>
      </c>
      <c r="F1029" s="13" t="inlineStr">
        <is>
          <t>См.обл.</t>
        </is>
      </c>
      <c r="G1029" s="1" t="inlineStr">
        <is>
          <t>Гоголь Н.В.</t>
        </is>
      </c>
      <c r="H1029" s="1" t="inlineStr">
        <is>
          <t>60х90/16</t>
        </is>
      </c>
      <c r="I1029" s="1" t="n">
        <v>304</v>
      </c>
      <c r="J1029" s="1" t="inlineStr">
        <is>
          <t>РИПОЛ Классик</t>
        </is>
      </c>
      <c r="M1029" s="1" t="inlineStr">
        <is>
          <t>2026</t>
        </is>
      </c>
      <c r="N1029" s="1" t="inlineStr">
        <is>
          <t>П</t>
        </is>
      </c>
      <c r="O1029" s="9" t="n">
        <v>12</v>
      </c>
      <c r="P1029" s="1">
        <f>ROUNDUP(869*(1-$F$3),2)</f>
        <v/>
      </c>
      <c r="Q1029" s="1" t="inlineStr">
        <is>
          <t> </t>
        </is>
      </c>
      <c r="R1029" s="1" t="inlineStr">
        <is>
          <t>978-5-386-15221-5</t>
        </is>
      </c>
      <c r="S1029" s="1" t="inlineStr">
        <is>
          <t>9785386152215</t>
        </is>
      </c>
      <c r="T1029" s="9" t="n">
        <v>10</v>
      </c>
      <c r="U1029" s="1">
        <f>ROUNDUP(790*(1-$F$3),2)</f>
        <v/>
      </c>
      <c r="V1029" s="1" t="n">
        <v>426</v>
      </c>
      <c r="Y1029" s="1" t="inlineStr">
        <is>
          <t>Миргород</t>
        </is>
      </c>
      <c r="Z1029" s="1" t="inlineStr">
        <is>
          <t>12+</t>
        </is>
      </c>
      <c r="AA1029" s="12" t="n">
        <v>45454</v>
      </c>
      <c r="AB1029" s="1" t="inlineStr">
        <is>
          <t>Художественная литература</t>
        </is>
      </c>
      <c r="AC1029" s="1" t="inlineStr">
        <is>
          <t>Русская литература</t>
        </is>
      </c>
      <c r="AD1029" s="1" t="inlineStr">
        <is>
          <t>Русская литература XVIII-нач. XX вв. (до 1917 г.)</t>
        </is>
      </c>
      <c r="AE1029" s="1" t="inlineStr">
        <is>
          <t>офсетная</t>
        </is>
      </c>
      <c r="AG1029" s="1" t="n">
        <v>11380000</v>
      </c>
      <c r="AI1029" s="1" t="inlineStr">
        <is>
          <t>4901990000</t>
        </is>
      </c>
    </row>
    <row r="1030" customFormat="1" s="1">
      <c r="C1030" s="1" t="inlineStr">
        <is>
          <t xml:space="preserve">10384380            </t>
        </is>
      </c>
      <c r="D1030" s="1" t="inlineStr">
        <is>
          <t>Собрание сочинений</t>
        </is>
      </c>
      <c r="E1030" s="1" t="inlineStr">
        <is>
          <t>Миргород. Т. 2. Гоголь Н.В.</t>
        </is>
      </c>
      <c r="F1030" s="13" t="inlineStr">
        <is>
          <t>См.обл.</t>
        </is>
      </c>
      <c r="G1030" s="1" t="inlineStr">
        <is>
          <t>Гоголь Н.В.</t>
        </is>
      </c>
      <c r="H1030" s="1" t="inlineStr">
        <is>
          <t>60х90/16</t>
        </is>
      </c>
      <c r="I1030" s="1" t="n">
        <v>264</v>
      </c>
      <c r="J1030" s="1" t="inlineStr">
        <is>
          <t>РИПОЛ Классик</t>
        </is>
      </c>
      <c r="K1030" s="1" t="inlineStr">
        <is>
          <t>RUGRAM_РИПОЛ Классик</t>
        </is>
      </c>
      <c r="M1030" s="1" t="inlineStr">
        <is>
          <t>2026</t>
        </is>
      </c>
      <c r="N1030" s="1" t="inlineStr">
        <is>
          <t>П</t>
        </is>
      </c>
      <c r="O1030" s="9" t="n">
        <v>14</v>
      </c>
      <c r="P1030" s="1">
        <f>ROUNDUP(1028.5*(1-$F$3),2)</f>
        <v/>
      </c>
      <c r="Q1030" s="1" t="inlineStr">
        <is>
          <t> </t>
        </is>
      </c>
      <c r="R1030" s="1" t="inlineStr">
        <is>
          <t>978-5-386-14714-3</t>
        </is>
      </c>
      <c r="S1030" s="1" t="inlineStr">
        <is>
          <t>9785386147143</t>
        </is>
      </c>
      <c r="T1030" s="9" t="n">
        <v>10</v>
      </c>
      <c r="U1030" s="1">
        <f>ROUNDUP(935*(1-$F$3),2)</f>
        <v/>
      </c>
      <c r="V1030" s="1" t="n">
        <v>379</v>
      </c>
      <c r="Y1030" s="1" t="inlineStr">
        <is>
          <t>Миргород. Т. 2</t>
        </is>
      </c>
      <c r="Z1030" s="1" t="inlineStr">
        <is>
          <t>12+</t>
        </is>
      </c>
      <c r="AA1030" s="12" t="n">
        <v>44642</v>
      </c>
      <c r="AB1030" s="1" t="inlineStr">
        <is>
          <t>Художественная литература</t>
        </is>
      </c>
      <c r="AC1030" s="1" t="inlineStr">
        <is>
          <t>Русская литература</t>
        </is>
      </c>
      <c r="AD1030" s="1" t="inlineStr">
        <is>
          <t>Русская литература XVIII-нач. XX вв. (до 1917 г.)</t>
        </is>
      </c>
      <c r="AE1030" s="1" t="inlineStr">
        <is>
          <t>офсетная</t>
        </is>
      </c>
      <c r="AG1030" s="1" t="n">
        <v>10384380</v>
      </c>
      <c r="AI1030" s="1" t="inlineStr">
        <is>
          <t>4901990000</t>
        </is>
      </c>
    </row>
    <row r="1031" customFormat="1" s="1">
      <c r="C1031" s="1" t="inlineStr">
        <is>
          <t xml:space="preserve">11502900            </t>
        </is>
      </c>
      <c r="D1031" s="1" t="inlineStr">
        <is>
          <t>Собрание сочинений</t>
        </is>
      </c>
      <c r="E1031" s="1" t="inlineStr">
        <is>
          <t>Мистерия-буфф: Комедии. Маяковский В.В</t>
        </is>
      </c>
      <c r="F1031" s="13" t="inlineStr">
        <is>
          <t>См.обл.</t>
        </is>
      </c>
      <c r="G1031" s="1" t="inlineStr">
        <is>
          <t>Маяковский В.В</t>
        </is>
      </c>
      <c r="H1031" s="1" t="inlineStr">
        <is>
          <t>60х90/16</t>
        </is>
      </c>
      <c r="I1031" s="1" t="n">
        <v>416</v>
      </c>
      <c r="J1031" s="1" t="inlineStr">
        <is>
          <t>РИПОЛ Классик</t>
        </is>
      </c>
      <c r="M1031" s="1" t="inlineStr">
        <is>
          <t>2025</t>
        </is>
      </c>
      <c r="N1031" s="1" t="inlineStr">
        <is>
          <t>П</t>
        </is>
      </c>
      <c r="O1031" s="9" t="n">
        <v>5</v>
      </c>
      <c r="P1031" s="1">
        <f>ROUNDUP(1670*(1-$F$3),2)</f>
        <v/>
      </c>
      <c r="Q1031" s="1" t="inlineStr">
        <is>
          <t> </t>
        </is>
      </c>
      <c r="R1031" s="1" t="inlineStr">
        <is>
          <t>978-5-386-15171-3</t>
        </is>
      </c>
      <c r="S1031" s="1" t="inlineStr">
        <is>
          <t>9785386151713</t>
        </is>
      </c>
      <c r="T1031" s="9" t="n">
        <v>10</v>
      </c>
      <c r="U1031" s="1">
        <f>ROUNDUP(1518.18*(1-$F$3),2)</f>
        <v/>
      </c>
      <c r="V1031" s="1" t="n">
        <v>506</v>
      </c>
      <c r="Y1031" s="1" t="inlineStr">
        <is>
          <t>Мистерия-буфф: Комедии</t>
        </is>
      </c>
      <c r="Z1031" s="1" t="inlineStr">
        <is>
          <t>16+</t>
        </is>
      </c>
      <c r="AA1031" s="12" t="n">
        <v>45590</v>
      </c>
      <c r="AB1031" s="1" t="inlineStr">
        <is>
          <t>Художественная литература</t>
        </is>
      </c>
      <c r="AC1031" s="1" t="inlineStr">
        <is>
          <t>Драматургия</t>
        </is>
      </c>
      <c r="AD1031" s="1" t="inlineStr">
        <is>
          <t>Русская драматургия</t>
        </is>
      </c>
      <c r="AE1031" s="1" t="inlineStr">
        <is>
          <t>офсетная</t>
        </is>
      </c>
      <c r="AG1031" s="1" t="n">
        <v>11502900</v>
      </c>
      <c r="AI1031" s="1" t="inlineStr">
        <is>
          <t>4901990000</t>
        </is>
      </c>
    </row>
    <row r="1032" customFormat="1" s="1">
      <c r="C1032" s="1" t="inlineStr">
        <is>
          <t xml:space="preserve">10384280            </t>
        </is>
      </c>
      <c r="D1032" s="1" t="inlineStr">
        <is>
          <t>Собрание сочинений</t>
        </is>
      </c>
      <c r="E1032" s="1" t="inlineStr">
        <is>
          <t>Ревизор. Т. 3. Гоголь Н.В.</t>
        </is>
      </c>
      <c r="F1032" s="13" t="inlineStr">
        <is>
          <t>См.обл.</t>
        </is>
      </c>
      <c r="G1032" s="1" t="inlineStr">
        <is>
          <t>Гоголь Н.В.</t>
        </is>
      </c>
      <c r="H1032" s="1" t="inlineStr">
        <is>
          <t>60х90/16</t>
        </is>
      </c>
      <c r="I1032" s="1" t="n">
        <v>248</v>
      </c>
      <c r="J1032" s="1" t="inlineStr">
        <is>
          <t>РИПОЛ Классик</t>
        </is>
      </c>
      <c r="M1032" s="1" t="inlineStr">
        <is>
          <t>2024</t>
        </is>
      </c>
      <c r="N1032" s="1" t="inlineStr">
        <is>
          <t>П</t>
        </is>
      </c>
      <c r="O1032" s="9" t="n">
        <v>14</v>
      </c>
      <c r="P1032" s="1">
        <f>ROUNDUP(1160.4*(1-$F$3),2)</f>
        <v/>
      </c>
      <c r="Q1032" s="1" t="inlineStr">
        <is>
          <t> </t>
        </is>
      </c>
      <c r="R1032" s="1" t="inlineStr">
        <is>
          <t>978-5-386-14735-8</t>
        </is>
      </c>
      <c r="S1032" s="1" t="inlineStr">
        <is>
          <t>9785386147358</t>
        </is>
      </c>
      <c r="T1032" s="9" t="n">
        <v>10</v>
      </c>
      <c r="U1032" s="1">
        <f>ROUNDUP(1054.91*(1-$F$3),2)</f>
        <v/>
      </c>
      <c r="V1032" s="1" t="n">
        <v>367</v>
      </c>
      <c r="Y1032" s="1" t="inlineStr">
        <is>
          <t>Ревизор. Т. 3</t>
        </is>
      </c>
      <c r="Z1032" s="1" t="inlineStr">
        <is>
          <t>12+</t>
        </is>
      </c>
      <c r="AA1032" s="12" t="n">
        <v>44670</v>
      </c>
      <c r="AB1032" s="1" t="inlineStr">
        <is>
          <t>Художественная литература</t>
        </is>
      </c>
      <c r="AC1032" s="1" t="inlineStr">
        <is>
          <t>Русская литература</t>
        </is>
      </c>
      <c r="AD1032" s="1" t="inlineStr">
        <is>
          <t>Русская литература XVIII-нач. XX вв. (до 1917 г.)</t>
        </is>
      </c>
      <c r="AE1032" s="1" t="inlineStr">
        <is>
          <t>офсетная</t>
        </is>
      </c>
      <c r="AG1032" s="1" t="n">
        <v>10384280</v>
      </c>
      <c r="AI1032" s="1" t="inlineStr">
        <is>
          <t>4901990000</t>
        </is>
      </c>
    </row>
    <row r="1033" customFormat="1" s="1">
      <c r="C1033" s="1" t="inlineStr">
        <is>
          <t xml:space="preserve">11014980            </t>
        </is>
      </c>
      <c r="D1033" s="1" t="inlineStr">
        <is>
          <t>Собрание сочинений</t>
        </is>
      </c>
      <c r="E1033" s="1" t="inlineStr">
        <is>
          <t>Собр.соч. в 3-х тт: Мастер и Маргарита; Собачье сердце; Белая гвардия. Булгаков М.А</t>
        </is>
      </c>
      <c r="F1033" s="13" t="inlineStr">
        <is>
          <t>См.обл.</t>
        </is>
      </c>
      <c r="G1033" s="1" t="inlineStr">
        <is>
          <t>Булгаков М.А</t>
        </is>
      </c>
      <c r="H1033" s="1" t="inlineStr">
        <is>
          <t>60х90/16</t>
        </is>
      </c>
      <c r="I1033" s="1" t="n">
        <v>1184</v>
      </c>
      <c r="J1033" s="1" t="inlineStr">
        <is>
          <t>РИПОЛ Классик</t>
        </is>
      </c>
      <c r="M1033" s="1" t="inlineStr">
        <is>
          <t>2023</t>
        </is>
      </c>
      <c r="N1033" s="1" t="inlineStr">
        <is>
          <t>П</t>
        </is>
      </c>
      <c r="O1033" s="9" t="n">
        <v>2</v>
      </c>
      <c r="P1033" s="1">
        <f>ROUNDUP(2840*(1-$F$3),2)</f>
        <v/>
      </c>
      <c r="Q1033" s="1" t="inlineStr">
        <is>
          <t> </t>
        </is>
      </c>
      <c r="R1033" s="1" t="inlineStr">
        <is>
          <t>978-5-386-15086-0</t>
        </is>
      </c>
      <c r="S1033" s="1" t="inlineStr">
        <is>
          <t>9785386150860</t>
        </is>
      </c>
      <c r="T1033" s="9" t="n">
        <v>10</v>
      </c>
      <c r="U1033" s="1">
        <f>ROUNDUP(2581.82*(1-$F$3),2)</f>
        <v/>
      </c>
      <c r="V1033" s="1" t="n">
        <v>1394</v>
      </c>
      <c r="Y1033" s="1" t="inlineStr">
        <is>
          <t>Собр.соч. в 3-х тт: Мастер и Маргарита; Собачье сердце; Белая гвардия</t>
        </is>
      </c>
      <c r="Z1033" s="1" t="inlineStr">
        <is>
          <t>16+</t>
        </is>
      </c>
      <c r="AA1033" s="12" t="n">
        <v>45143</v>
      </c>
      <c r="AB1033" s="1" t="inlineStr">
        <is>
          <t>Художественная литература</t>
        </is>
      </c>
      <c r="AC1033" s="1" t="inlineStr">
        <is>
          <t>Русская литература</t>
        </is>
      </c>
      <c r="AD1033" s="1" t="inlineStr">
        <is>
          <t>Русская литература советского периода (1917-1991 гг.)</t>
        </is>
      </c>
      <c r="AE1033" s="1" t="inlineStr">
        <is>
          <t>офсетная</t>
        </is>
      </c>
      <c r="AG1033" s="1" t="n">
        <v>11014980</v>
      </c>
      <c r="AI1033" s="1" t="inlineStr">
        <is>
          <t>4901990000</t>
        </is>
      </c>
    </row>
    <row r="1034" customFormat="1" s="1">
      <c r="C1034" s="1" t="inlineStr">
        <is>
          <t xml:space="preserve">11086270            </t>
        </is>
      </c>
      <c r="D1034" s="1" t="inlineStr">
        <is>
          <t>Собрание сочинений</t>
        </is>
      </c>
      <c r="E1034" s="1" t="inlineStr">
        <is>
          <t>Собр.соч. в 5-ти тт : Петр Первый: Кн. 1, 2;  Хождение по мукам: Кн. 1, 2, 3: комплект из 5 книг.. Толстой А.Н.</t>
        </is>
      </c>
      <c r="F1034" s="13" t="inlineStr">
        <is>
          <t>См.обл.</t>
        </is>
      </c>
      <c r="G1034" s="1" t="inlineStr">
        <is>
          <t>Толстой А.Н.</t>
        </is>
      </c>
      <c r="H1034" s="1" t="inlineStr">
        <is>
          <t>60х90/16</t>
        </is>
      </c>
      <c r="I1034" s="1" t="n">
        <v>2128</v>
      </c>
      <c r="J1034" s="1" t="inlineStr">
        <is>
          <t>РИПОЛ Классик</t>
        </is>
      </c>
      <c r="M1034" s="1" t="inlineStr">
        <is>
          <t>2023</t>
        </is>
      </c>
      <c r="N1034" s="1" t="inlineStr">
        <is>
          <t>П</t>
        </is>
      </c>
      <c r="O1034" s="9" t="n">
        <v>1</v>
      </c>
      <c r="P1034" s="1">
        <f>ROUNDUP(3740*(1-$F$3),2)</f>
        <v/>
      </c>
      <c r="Q1034" s="1" t="inlineStr">
        <is>
          <t> </t>
        </is>
      </c>
      <c r="R1034" s="1" t="inlineStr">
        <is>
          <t>978-5-386-15090-7</t>
        </is>
      </c>
      <c r="S1034" s="1" t="inlineStr">
        <is>
          <t>9785386150907</t>
        </is>
      </c>
      <c r="T1034" s="9" t="n">
        <v>10</v>
      </c>
      <c r="U1034" s="1">
        <f>ROUNDUP(3400*(1-$F$3),2)</f>
        <v/>
      </c>
      <c r="V1034" s="1" t="n">
        <v>2422</v>
      </c>
      <c r="Y1034" s="1" t="inlineStr">
        <is>
          <t>Собр.соч. в 5-ти тт : Петр Первый: Кн. 1, 2;  Хождение по мукам: Кн. 1, 2, 3: комплект из 5 книг.</t>
        </is>
      </c>
      <c r="AA1034" s="12" t="n">
        <v>45187</v>
      </c>
      <c r="AB1034" s="1" t="inlineStr">
        <is>
          <t>Художественная литература</t>
        </is>
      </c>
      <c r="AC1034" s="1" t="inlineStr">
        <is>
          <t>Русская литература</t>
        </is>
      </c>
      <c r="AD1034" s="1" t="inlineStr">
        <is>
          <t>Русская литература советского периода (1917-1991 гг.)</t>
        </is>
      </c>
      <c r="AE1034" s="1" t="inlineStr">
        <is>
          <t>офсетная</t>
        </is>
      </c>
      <c r="AG1034" s="1" t="n">
        <v>11086270</v>
      </c>
      <c r="AI1034" s="1" t="inlineStr">
        <is>
          <t>4901990000</t>
        </is>
      </c>
    </row>
    <row r="1035" customFormat="1" s="1">
      <c r="C1035" s="1" t="inlineStr">
        <is>
          <t xml:space="preserve">11100930            </t>
        </is>
      </c>
      <c r="D1035" s="1" t="inlineStr">
        <is>
          <t>Собрание сочинений</t>
        </is>
      </c>
      <c r="E1035" s="1" t="inlineStr">
        <is>
          <t>Собр.соч. в 7-ми тт.: Петр Первый: Кн. 1,2;  Хождение по мукам: Кн. 1,2,3; Гиперболоид инженера Гарина; Граф Калиостро. Толстой А.Н.</t>
        </is>
      </c>
      <c r="F1035" s="13" t="inlineStr">
        <is>
          <t>См.обл.</t>
        </is>
      </c>
      <c r="G1035" s="1" t="inlineStr">
        <is>
          <t>Толстой А.Н.</t>
        </is>
      </c>
      <c r="H1035" s="1" t="inlineStr">
        <is>
          <t>60х90/16</t>
        </is>
      </c>
      <c r="I1035" s="1" t="n">
        <v>3006</v>
      </c>
      <c r="J1035" s="1" t="inlineStr">
        <is>
          <t>РИПОЛ Классик</t>
        </is>
      </c>
      <c r="M1035" s="1" t="inlineStr">
        <is>
          <t>2023</t>
        </is>
      </c>
      <c r="N1035" s="1" t="inlineStr">
        <is>
          <t>П</t>
        </is>
      </c>
      <c r="O1035" s="9" t="n">
        <v>1</v>
      </c>
      <c r="P1035" s="1">
        <f>ROUNDUP(5680*(1-$F$3),2)</f>
        <v/>
      </c>
      <c r="Q1035" s="1" t="inlineStr">
        <is>
          <t> </t>
        </is>
      </c>
      <c r="R1035" s="1" t="inlineStr">
        <is>
          <t>978-5-386-15088-4</t>
        </is>
      </c>
      <c r="S1035" s="1" t="inlineStr">
        <is>
          <t>9785386150884</t>
        </is>
      </c>
      <c r="T1035" s="9" t="n">
        <v>10</v>
      </c>
      <c r="U1035" s="1">
        <f>ROUNDUP(5163.64*(1-$F$3),2)</f>
        <v/>
      </c>
      <c r="V1035" s="1" t="n">
        <v>3442</v>
      </c>
      <c r="Y1035" s="1" t="inlineStr">
        <is>
          <t>Собр.соч. в 7-ми тт.: Петр Первый: Кн. 1,2;  Хождение по мукам: Кн. 1,2,3; Гиперболоид инженера Гарина; Граф Калиостро</t>
        </is>
      </c>
      <c r="AA1035" s="12" t="n">
        <v>45199</v>
      </c>
      <c r="AB1035" s="1" t="inlineStr">
        <is>
          <t>Художественная литература</t>
        </is>
      </c>
      <c r="AC1035" s="1" t="inlineStr">
        <is>
          <t>Русская литература</t>
        </is>
      </c>
      <c r="AD1035" s="1" t="inlineStr">
        <is>
          <t>Русская литература советского периода (1917-1991 гг.)</t>
        </is>
      </c>
      <c r="AE1035" s="1" t="inlineStr">
        <is>
          <t>офсетная</t>
        </is>
      </c>
      <c r="AG1035" s="1" t="n">
        <v>11100930</v>
      </c>
      <c r="AI1035" s="1" t="inlineStr">
        <is>
          <t>4901990000</t>
        </is>
      </c>
    </row>
    <row r="1036" customFormat="1" s="1">
      <c r="C1036" s="1" t="inlineStr">
        <is>
          <t xml:space="preserve">8824880             </t>
        </is>
      </c>
      <c r="D1036" s="1" t="inlineStr">
        <is>
          <t>Собрание сочинений</t>
        </is>
      </c>
      <c r="E1036" s="1" t="inlineStr">
        <is>
          <t>Собрание сочинений. В 5 т. Т. 3: Веселящаяся единица. Ильф И.А., Петров Е.П</t>
        </is>
      </c>
      <c r="F1036" s="13" t="inlineStr">
        <is>
          <t>См.обл.</t>
        </is>
      </c>
      <c r="G1036" s="1" t="inlineStr">
        <is>
          <t>Ильф И.А., Петров Е.П</t>
        </is>
      </c>
      <c r="H1036" s="1" t="inlineStr">
        <is>
          <t>60х90/16</t>
        </is>
      </c>
      <c r="I1036" s="1" t="n">
        <v>436</v>
      </c>
      <c r="J1036" s="1" t="inlineStr">
        <is>
          <t>РИПОЛ Классик</t>
        </is>
      </c>
      <c r="K1036" s="1" t="inlineStr">
        <is>
          <t>Пальмира</t>
        </is>
      </c>
      <c r="M1036" s="1" t="inlineStr">
        <is>
          <t>2020</t>
        </is>
      </c>
      <c r="N1036" s="1" t="inlineStr">
        <is>
          <t>П</t>
        </is>
      </c>
      <c r="O1036" s="9" t="n">
        <v>8</v>
      </c>
      <c r="P1036" s="1">
        <f>ROUNDUP(1295.8*(1-$F$3),2)</f>
        <v/>
      </c>
      <c r="Q1036" s="1" t="inlineStr">
        <is>
          <t> </t>
        </is>
      </c>
      <c r="R1036" s="1" t="inlineStr">
        <is>
          <t>978-5-386-10887-8</t>
        </is>
      </c>
      <c r="S1036" s="1" t="inlineStr">
        <is>
          <t>9785386108878</t>
        </is>
      </c>
      <c r="T1036" s="9" t="n">
        <v>10</v>
      </c>
      <c r="U1036" s="1">
        <f>ROUNDUP(1178*(1-$F$3),2)</f>
        <v/>
      </c>
      <c r="V1036" s="1" t="n">
        <v>559</v>
      </c>
      <c r="Y1036" s="1" t="inlineStr">
        <is>
          <t>Собрание сочинений. В 5 т. Т. 3: Веселящаяся единица</t>
        </is>
      </c>
      <c r="Z1036" s="1" t="inlineStr">
        <is>
          <t>12+</t>
        </is>
      </c>
      <c r="AA1036" s="12" t="n">
        <v>43403</v>
      </c>
      <c r="AB1036" s="1" t="inlineStr">
        <is>
          <t>Художественная литература</t>
        </is>
      </c>
      <c r="AC1036" s="1" t="inlineStr">
        <is>
          <t>Русская литература</t>
        </is>
      </c>
      <c r="AD1036" s="1" t="inlineStr">
        <is>
          <t>Русская литература советского периода (1917-1991 гг.)</t>
        </is>
      </c>
      <c r="AE1036" s="1" t="inlineStr">
        <is>
          <t>офсетная</t>
        </is>
      </c>
      <c r="AG1036" s="1" t="n">
        <v>8824880</v>
      </c>
      <c r="AI1036" s="1" t="inlineStr">
        <is>
          <t>4901990000</t>
        </is>
      </c>
    </row>
    <row r="1037" customFormat="1" s="1">
      <c r="C1037" s="1" t="inlineStr">
        <is>
          <t xml:space="preserve">8859310             </t>
        </is>
      </c>
      <c r="D1037" s="1" t="inlineStr">
        <is>
          <t>Собрание сочинений</t>
        </is>
      </c>
      <c r="E1037" s="1" t="inlineStr">
        <is>
          <t>Собрание сочинений. В 5 т. Т. 5: Для будущего человека. Ильф И.А., Петров Е.П</t>
        </is>
      </c>
      <c r="F1037" s="13" t="inlineStr">
        <is>
          <t>См.обл.</t>
        </is>
      </c>
      <c r="G1037" s="1" t="inlineStr">
        <is>
          <t>Ильф И.А., Петров Е.П</t>
        </is>
      </c>
      <c r="H1037" s="1" t="inlineStr">
        <is>
          <t>60х90/16</t>
        </is>
      </c>
      <c r="I1037" s="1" t="n">
        <v>660</v>
      </c>
      <c r="J1037" s="1" t="inlineStr">
        <is>
          <t>РИПОЛ Классик</t>
        </is>
      </c>
      <c r="K1037" s="1" t="inlineStr">
        <is>
          <t>Пальмира</t>
        </is>
      </c>
      <c r="M1037" s="1" t="inlineStr">
        <is>
          <t>2019</t>
        </is>
      </c>
      <c r="N1037" s="1" t="inlineStr">
        <is>
          <t>П</t>
        </is>
      </c>
      <c r="O1037" s="9" t="n">
        <v>6</v>
      </c>
      <c r="P1037" s="1">
        <f>ROUNDUP(1206.8*(1-$F$3),2)</f>
        <v/>
      </c>
      <c r="Q1037" s="1" t="inlineStr">
        <is>
          <t> </t>
        </is>
      </c>
      <c r="R1037" s="1" t="inlineStr">
        <is>
          <t>978-5-386-10889-2</t>
        </is>
      </c>
      <c r="S1037" s="1" t="inlineStr">
        <is>
          <t>9785386108892</t>
        </is>
      </c>
      <c r="T1037" s="9" t="n">
        <v>10</v>
      </c>
      <c r="U1037" s="1">
        <f>ROUNDUP(1097.09*(1-$F$3),2)</f>
        <v/>
      </c>
      <c r="V1037" s="1" t="n">
        <v>803</v>
      </c>
      <c r="Y1037" s="1" t="inlineStr">
        <is>
          <t>Собрание сочинений. В 5 т. Т. 5: Для будущего человека</t>
        </is>
      </c>
      <c r="Z1037" s="1" t="inlineStr">
        <is>
          <t>12+</t>
        </is>
      </c>
      <c r="AA1037" s="12" t="n">
        <v>43437</v>
      </c>
      <c r="AB1037" s="1" t="inlineStr">
        <is>
          <t>Художественная литература</t>
        </is>
      </c>
      <c r="AC1037" s="1" t="inlineStr">
        <is>
          <t>Русская литература</t>
        </is>
      </c>
      <c r="AD1037" s="1" t="inlineStr">
        <is>
          <t>Русская литература XVIII-нач. XX вв. (до 1917 г.)</t>
        </is>
      </c>
      <c r="AE1037" s="1" t="inlineStr">
        <is>
          <t>офсетная</t>
        </is>
      </c>
      <c r="AG1037" s="1" t="n">
        <v>8859310</v>
      </c>
      <c r="AI1037" s="1" t="inlineStr">
        <is>
          <t>4901990000</t>
        </is>
      </c>
    </row>
    <row r="1038" customFormat="1" s="1">
      <c r="C1038" s="1" t="inlineStr">
        <is>
          <t xml:space="preserve">11198050            </t>
        </is>
      </c>
      <c r="D1038" s="1" t="inlineStr">
        <is>
          <t>Современная поэзия</t>
        </is>
      </c>
      <c r="E1038" s="1" t="inlineStr">
        <is>
          <t>Болотный огонь: Избранное. Чигрин Е.М.</t>
        </is>
      </c>
      <c r="F1038" s="13" t="inlineStr">
        <is>
          <t>См.обл.</t>
        </is>
      </c>
      <c r="G1038" s="1" t="inlineStr">
        <is>
          <t>Чигрин Е.М.</t>
        </is>
      </c>
      <c r="H1038" s="1" t="inlineStr">
        <is>
          <t>60х90/16</t>
        </is>
      </c>
      <c r="I1038" s="1" t="n">
        <v>538</v>
      </c>
      <c r="J1038" s="1" t="inlineStr">
        <is>
          <t>РИПОЛ Классик</t>
        </is>
      </c>
      <c r="M1038" s="1" t="inlineStr">
        <is>
          <t>2024</t>
        </is>
      </c>
      <c r="N1038" s="1" t="inlineStr">
        <is>
          <t>П</t>
        </is>
      </c>
      <c r="O1038" s="9" t="n">
        <v>8</v>
      </c>
      <c r="P1038" s="1">
        <f>ROUNDUP(1750*(1-$F$3),2)</f>
        <v/>
      </c>
      <c r="Q1038" s="1" t="inlineStr">
        <is>
          <t> </t>
        </is>
      </c>
      <c r="R1038" s="1" t="inlineStr">
        <is>
          <t>978-5-386-15103-4</t>
        </is>
      </c>
      <c r="S1038" s="1" t="inlineStr">
        <is>
          <t>9785386151034</t>
        </is>
      </c>
      <c r="T1038" s="9" t="n">
        <v>10</v>
      </c>
      <c r="U1038" s="1">
        <f>ROUNDUP(1590.91*(1-$F$3),2)</f>
        <v/>
      </c>
      <c r="V1038" s="1" t="n">
        <v>754</v>
      </c>
      <c r="Y1038" s="1" t="inlineStr">
        <is>
          <t>Болотный огонь: Избранное</t>
        </is>
      </c>
      <c r="Z1038" s="1" t="inlineStr">
        <is>
          <t>16+</t>
        </is>
      </c>
      <c r="AA1038" s="12" t="n">
        <v>45302</v>
      </c>
      <c r="AB1038" s="1" t="inlineStr">
        <is>
          <t>Художественная литература</t>
        </is>
      </c>
      <c r="AC1038" s="1" t="inlineStr">
        <is>
          <t>Поэзия</t>
        </is>
      </c>
      <c r="AD1038" s="1" t="inlineStr">
        <is>
          <t>Русская поэзия</t>
        </is>
      </c>
      <c r="AE1038" s="1" t="inlineStr">
        <is>
          <t>офсетная</t>
        </is>
      </c>
      <c r="AG1038" s="1" t="n">
        <v>11198050</v>
      </c>
      <c r="AI1038" s="1" t="inlineStr">
        <is>
          <t>4901990000</t>
        </is>
      </c>
      <c r="AJ1038" s="1" t="inlineStr">
        <is>
          <t>Зпв</t>
        </is>
      </c>
    </row>
    <row r="1039" customFormat="1" s="1">
      <c r="C1039" s="1" t="inlineStr">
        <is>
          <t xml:space="preserve">8891690             </t>
        </is>
      </c>
      <c r="D1039" s="1" t="inlineStr">
        <is>
          <t>Современная поэзия</t>
        </is>
      </c>
      <c r="E1039" s="1" t="inlineStr">
        <is>
          <t>Нет никого лучше тебя: Пять петербургских поэтов о любви. Веселов Д.Е.</t>
        </is>
      </c>
      <c r="F1039" s="13" t="inlineStr">
        <is>
          <t>См.обл.</t>
        </is>
      </c>
      <c r="G1039" s="1" t="inlineStr">
        <is>
          <t>Веселов Д.Е.</t>
        </is>
      </c>
      <c r="H1039" s="1" t="inlineStr">
        <is>
          <t>80х100/32</t>
        </is>
      </c>
      <c r="I1039" s="1" t="n">
        <v>172</v>
      </c>
      <c r="J1039" s="1" t="inlineStr">
        <is>
          <t>РИПОЛ Классик</t>
        </is>
      </c>
      <c r="M1039" s="1" t="inlineStr">
        <is>
          <t>2019</t>
        </is>
      </c>
      <c r="N1039" s="1" t="inlineStr">
        <is>
          <t>О</t>
        </is>
      </c>
      <c r="O1039" s="9" t="n">
        <v>22</v>
      </c>
      <c r="P1039" s="1">
        <f>ROUNDUP(810*(1-$F$3),2)</f>
        <v/>
      </c>
      <c r="Q1039" s="1" t="inlineStr">
        <is>
          <t> </t>
        </is>
      </c>
      <c r="R1039" s="1" t="inlineStr">
        <is>
          <t>978-5-386-12371-0</t>
        </is>
      </c>
      <c r="S1039" s="1" t="inlineStr">
        <is>
          <t>9785386123710</t>
        </is>
      </c>
      <c r="T1039" s="9" t="n">
        <v>10</v>
      </c>
      <c r="U1039" s="1">
        <f>ROUNDUP(736.36*(1-$F$3),2)</f>
        <v/>
      </c>
      <c r="V1039" s="1" t="n">
        <v>137</v>
      </c>
      <c r="Y1039" s="1" t="inlineStr">
        <is>
          <t>Нет никого лучше тебя: Пять петербургских поэтов о любви</t>
        </is>
      </c>
      <c r="Z1039" s="1" t="inlineStr">
        <is>
          <t>18+</t>
        </is>
      </c>
      <c r="AA1039" s="12" t="n">
        <v>43458</v>
      </c>
      <c r="AB1039" s="1" t="inlineStr">
        <is>
          <t>Художественная литература</t>
        </is>
      </c>
      <c r="AC1039" s="1" t="inlineStr">
        <is>
          <t>Поэзия</t>
        </is>
      </c>
      <c r="AD1039" s="1" t="inlineStr">
        <is>
          <t>Русская поэзия</t>
        </is>
      </c>
      <c r="AE1039" s="1" t="inlineStr">
        <is>
          <t>офсетная</t>
        </is>
      </c>
      <c r="AG1039" s="1" t="n">
        <v>8891690</v>
      </c>
      <c r="AI1039" s="1" t="inlineStr">
        <is>
          <t>4901990000</t>
        </is>
      </c>
    </row>
    <row r="1040" customFormat="1" s="1">
      <c r="C1040" s="1" t="inlineStr">
        <is>
          <t xml:space="preserve">11288880            </t>
        </is>
      </c>
      <c r="D1040" s="1" t="inlineStr">
        <is>
          <t>Современная поэзия</t>
        </is>
      </c>
      <c r="E1040" s="1" t="inlineStr">
        <is>
          <t>Сопряженность. Лайдинен Н.</t>
        </is>
      </c>
      <c r="F1040" s="13" t="inlineStr">
        <is>
          <t>См.обл.</t>
        </is>
      </c>
      <c r="G1040" s="1" t="inlineStr">
        <is>
          <t>Лайдинен Н.</t>
        </is>
      </c>
      <c r="H1040" s="1" t="inlineStr">
        <is>
          <t>84х108/32</t>
        </is>
      </c>
      <c r="I1040" s="1" t="n">
        <v>432</v>
      </c>
      <c r="J1040" s="1" t="inlineStr">
        <is>
          <t>РИПОЛ Классик</t>
        </is>
      </c>
      <c r="M1040" s="1" t="inlineStr">
        <is>
          <t>2024</t>
        </is>
      </c>
      <c r="N1040" s="1" t="inlineStr">
        <is>
          <t>П</t>
        </is>
      </c>
      <c r="O1040" s="9" t="n">
        <v>8</v>
      </c>
      <c r="P1040" s="1">
        <f>ROUNDUP(1230*(1-$F$3),2)</f>
        <v/>
      </c>
      <c r="Q1040" s="1" t="inlineStr">
        <is>
          <t> </t>
        </is>
      </c>
      <c r="R1040" s="1" t="inlineStr">
        <is>
          <t>978-5-386-15181-2</t>
        </is>
      </c>
      <c r="S1040" s="1" t="inlineStr">
        <is>
          <t>9785386151812</t>
        </is>
      </c>
      <c r="T1040" s="9" t="n">
        <v>10</v>
      </c>
      <c r="U1040" s="1">
        <f>ROUNDUP(1118.18*(1-$F$3),2)</f>
        <v/>
      </c>
      <c r="V1040" s="1" t="n">
        <v>534</v>
      </c>
      <c r="Y1040" s="1" t="inlineStr">
        <is>
          <t>Сопряженность</t>
        </is>
      </c>
      <c r="Z1040" s="1" t="inlineStr">
        <is>
          <t>12+</t>
        </is>
      </c>
      <c r="AA1040" s="12" t="n">
        <v>45391</v>
      </c>
      <c r="AB1040" s="1" t="inlineStr">
        <is>
          <t>Художественная литература</t>
        </is>
      </c>
      <c r="AC1040" s="1" t="inlineStr">
        <is>
          <t>Поэзия</t>
        </is>
      </c>
      <c r="AD1040" s="1" t="inlineStr">
        <is>
          <t>Русская поэзия</t>
        </is>
      </c>
      <c r="AE1040" s="1" t="inlineStr">
        <is>
          <t>офсетная</t>
        </is>
      </c>
      <c r="AG1040" s="1" t="n">
        <v>11288880</v>
      </c>
      <c r="AI1040" s="1" t="inlineStr">
        <is>
          <t>4901990000</t>
        </is>
      </c>
    </row>
    <row r="1041" customFormat="1" s="1">
      <c r="C1041" s="1" t="inlineStr">
        <is>
          <t xml:space="preserve">11191690            </t>
        </is>
      </c>
      <c r="D1041" s="1" t="inlineStr">
        <is>
          <t>Современная проза</t>
        </is>
      </c>
      <c r="E1041" s="1" t="inlineStr">
        <is>
          <t>Эолова Арфа: роман. Сегень А.Ю.</t>
        </is>
      </c>
      <c r="F1041" s="13" t="inlineStr">
        <is>
          <t>См.обл.</t>
        </is>
      </c>
      <c r="G1041" s="1" t="inlineStr">
        <is>
          <t>Сегень А.Ю.</t>
        </is>
      </c>
      <c r="H1041" s="1" t="inlineStr">
        <is>
          <t>70х100/16</t>
        </is>
      </c>
      <c r="I1041" s="1" t="n">
        <v>800</v>
      </c>
      <c r="J1041" s="1" t="inlineStr">
        <is>
          <t>РИПОЛ Классик</t>
        </is>
      </c>
      <c r="M1041" s="1" t="inlineStr">
        <is>
          <t>2025</t>
        </is>
      </c>
      <c r="N1041" s="1" t="inlineStr">
        <is>
          <t>П</t>
        </is>
      </c>
      <c r="O1041" s="9" t="n">
        <v>3</v>
      </c>
      <c r="P1041" s="1">
        <f>ROUNDUP(2610*(1-$F$3),2)</f>
        <v/>
      </c>
      <c r="Q1041" s="1" t="inlineStr">
        <is>
          <t> </t>
        </is>
      </c>
      <c r="R1041" s="1" t="inlineStr">
        <is>
          <t>978-5-386-15149-2</t>
        </is>
      </c>
      <c r="S1041" s="1" t="inlineStr">
        <is>
          <t>9785386151492</t>
        </is>
      </c>
      <c r="T1041" s="9" t="n">
        <v>10</v>
      </c>
      <c r="U1041" s="1">
        <f>ROUNDUP(2372.73*(1-$F$3),2)</f>
        <v/>
      </c>
      <c r="V1041" s="1" t="n">
        <v>889</v>
      </c>
      <c r="Y1041" s="1" t="inlineStr">
        <is>
          <t>Эолова Арфа: роман</t>
        </is>
      </c>
      <c r="Z1041" s="1" t="inlineStr">
        <is>
          <t>16+</t>
        </is>
      </c>
      <c r="AA1041" s="12" t="n">
        <v>45288</v>
      </c>
      <c r="AB1041" s="1" t="inlineStr">
        <is>
          <t>Художественная литература</t>
        </is>
      </c>
      <c r="AC1041" s="1" t="inlineStr">
        <is>
          <t>Русская литература</t>
        </is>
      </c>
      <c r="AD1041" s="1" t="inlineStr">
        <is>
          <t>Современная литература</t>
        </is>
      </c>
      <c r="AE1041" s="1" t="inlineStr">
        <is>
          <t>офсетная</t>
        </is>
      </c>
      <c r="AG1041" s="1" t="n">
        <v>11191690</v>
      </c>
      <c r="AI1041" s="1" t="inlineStr">
        <is>
          <t>4901990000</t>
        </is>
      </c>
    </row>
    <row r="1042" customFormat="1" s="1">
      <c r="C1042" s="1" t="inlineStr">
        <is>
          <t xml:space="preserve">11116450            </t>
        </is>
      </c>
      <c r="D1042" s="1" t="inlineStr">
        <is>
          <t>Современная российская проза</t>
        </is>
      </c>
      <c r="E1042" s="1" t="inlineStr">
        <is>
          <t>Бог, которого не было. Белая книга. Кн. 1. Френкель А.Р</t>
        </is>
      </c>
      <c r="F1042" s="13" t="inlineStr">
        <is>
          <t>См.обл.</t>
        </is>
      </c>
      <c r="G1042" s="1" t="inlineStr">
        <is>
          <t>Френкель А.Р</t>
        </is>
      </c>
      <c r="H1042" s="1" t="inlineStr">
        <is>
          <t>70х100/16</t>
        </is>
      </c>
      <c r="I1042" s="1" t="n">
        <v>360</v>
      </c>
      <c r="J1042" s="1" t="inlineStr">
        <is>
          <t>РИПОЛ Классик</t>
        </is>
      </c>
      <c r="M1042" s="1" t="inlineStr">
        <is>
          <t>2024</t>
        </is>
      </c>
      <c r="N1042" s="1" t="inlineStr">
        <is>
          <t>П</t>
        </is>
      </c>
      <c r="O1042" s="9" t="n">
        <v>5</v>
      </c>
      <c r="P1042" s="1">
        <f>ROUNDUP(1800*(1-$F$3),2)</f>
        <v/>
      </c>
      <c r="Q1042" s="1" t="inlineStr">
        <is>
          <t> </t>
        </is>
      </c>
      <c r="R1042" s="1" t="inlineStr">
        <is>
          <t>978-5-386-15118-8</t>
        </is>
      </c>
      <c r="S1042" s="1" t="inlineStr">
        <is>
          <t>9785386151188</t>
        </is>
      </c>
      <c r="T1042" s="9" t="n">
        <v>22</v>
      </c>
      <c r="U1042" s="1">
        <f>ROUNDUP(1475.41*(1-$F$3),2)</f>
        <v/>
      </c>
      <c r="V1042" s="1" t="n">
        <v>918</v>
      </c>
      <c r="Y1042" s="1" t="inlineStr">
        <is>
          <t>Бог, которого не было. Белая книга. Кн. 1</t>
        </is>
      </c>
      <c r="Z1042" s="1" t="inlineStr">
        <is>
          <t>18+</t>
        </is>
      </c>
      <c r="AA1042" s="12" t="n">
        <v>45230</v>
      </c>
      <c r="AB1042" s="1" t="inlineStr">
        <is>
          <t>Художественная литература</t>
        </is>
      </c>
      <c r="AC1042" s="1" t="inlineStr">
        <is>
          <t>Русская литература</t>
        </is>
      </c>
      <c r="AD1042" s="1" t="inlineStr">
        <is>
          <t>Современная литература</t>
        </is>
      </c>
      <c r="AE1042" s="1" t="inlineStr">
        <is>
          <t>офсетная</t>
        </is>
      </c>
      <c r="AG1042" s="1" t="n">
        <v>11116450</v>
      </c>
      <c r="AI1042" s="1" t="inlineStr">
        <is>
          <t>4901990000</t>
        </is>
      </c>
      <c r="AJ1042" s="1" t="inlineStr">
        <is>
          <t>Зпв</t>
        </is>
      </c>
    </row>
    <row r="1043" customFormat="1" s="1">
      <c r="C1043" s="1" t="inlineStr">
        <is>
          <t xml:space="preserve">11260910            </t>
        </is>
      </c>
      <c r="D1043" s="1" t="inlineStr">
        <is>
          <t>Современная российская проза</t>
        </is>
      </c>
      <c r="E1043" s="1" t="inlineStr">
        <is>
          <t>Бог, которого не было. Черная книга. Кн. 2. Френкель А.Р</t>
        </is>
      </c>
      <c r="F1043" s="13" t="inlineStr">
        <is>
          <t>См.обл.</t>
        </is>
      </c>
      <c r="G1043" s="1" t="inlineStr">
        <is>
          <t>Френкель А.Р</t>
        </is>
      </c>
      <c r="H1043" s="1" t="inlineStr">
        <is>
          <t>70х100/16</t>
        </is>
      </c>
      <c r="I1043" s="1" t="n">
        <v>376</v>
      </c>
      <c r="J1043" s="1" t="inlineStr">
        <is>
          <t>РИПОЛ Классик</t>
        </is>
      </c>
      <c r="M1043" s="1" t="inlineStr">
        <is>
          <t>2024</t>
        </is>
      </c>
      <c r="N1043" s="1" t="inlineStr">
        <is>
          <t>П</t>
        </is>
      </c>
      <c r="O1043" s="9" t="n">
        <v>5</v>
      </c>
      <c r="P1043" s="1">
        <f>ROUNDUP(2520*(1-$F$3),2)</f>
        <v/>
      </c>
      <c r="Q1043" s="1" t="inlineStr">
        <is>
          <t> </t>
        </is>
      </c>
      <c r="R1043" s="1" t="inlineStr">
        <is>
          <t>978-5-386-15119-5</t>
        </is>
      </c>
      <c r="S1043" s="1" t="inlineStr">
        <is>
          <t>9785386151195</t>
        </is>
      </c>
      <c r="T1043" s="9" t="n">
        <v>22</v>
      </c>
      <c r="U1043" s="1">
        <f>ROUNDUP(2065.57*(1-$F$3),2)</f>
        <v/>
      </c>
      <c r="V1043" s="1" t="n">
        <v>927</v>
      </c>
      <c r="Y1043" s="1" t="inlineStr">
        <is>
          <t>Бог, которого не было. Черная книга. Кн. 2</t>
        </is>
      </c>
      <c r="Z1043" s="1" t="inlineStr">
        <is>
          <t>18+</t>
        </is>
      </c>
      <c r="AA1043" s="12" t="n">
        <v>45376</v>
      </c>
      <c r="AB1043" s="1" t="inlineStr">
        <is>
          <t>Художественная литература</t>
        </is>
      </c>
      <c r="AC1043" s="1" t="inlineStr">
        <is>
          <t>Русская литература</t>
        </is>
      </c>
      <c r="AD1043" s="1" t="inlineStr">
        <is>
          <t>Современная литература</t>
        </is>
      </c>
      <c r="AE1043" s="1" t="inlineStr">
        <is>
          <t>офсетная</t>
        </is>
      </c>
      <c r="AG1043" s="1" t="n">
        <v>11260910</v>
      </c>
      <c r="AI1043" s="1" t="inlineStr">
        <is>
          <t>4901990000</t>
        </is>
      </c>
      <c r="AJ1043" s="1" t="inlineStr">
        <is>
          <t>Зпв</t>
        </is>
      </c>
    </row>
    <row r="1044" customFormat="1" s="1">
      <c r="C1044" s="1" t="inlineStr">
        <is>
          <t xml:space="preserve">11155880            </t>
        </is>
      </c>
      <c r="D1044" s="1" t="inlineStr">
        <is>
          <t>Современная российская проза</t>
        </is>
      </c>
      <c r="E1044" s="1" t="inlineStr">
        <is>
          <t>Великая Мать: роман. Белодед И.</t>
        </is>
      </c>
      <c r="F1044" s="13" t="inlineStr">
        <is>
          <t>См.обл.</t>
        </is>
      </c>
      <c r="G1044" s="1" t="inlineStr">
        <is>
          <t>Белодед И.</t>
        </is>
      </c>
      <c r="H1044" s="1" t="inlineStr">
        <is>
          <t>70х100/16</t>
        </is>
      </c>
      <c r="I1044" s="1" t="n">
        <v>608</v>
      </c>
      <c r="J1044" s="1" t="inlineStr">
        <is>
          <t>РИПОЛ Классик</t>
        </is>
      </c>
      <c r="M1044" s="1" t="inlineStr">
        <is>
          <t>2024</t>
        </is>
      </c>
      <c r="N1044" s="1" t="inlineStr">
        <is>
          <t>П</t>
        </is>
      </c>
      <c r="O1044" s="9" t="n">
        <v>6</v>
      </c>
      <c r="P1044" s="1">
        <f>ROUNDUP(1540*(1-$F$3),2)</f>
        <v/>
      </c>
      <c r="Q1044" s="1" t="inlineStr">
        <is>
          <t> </t>
        </is>
      </c>
      <c r="R1044" s="1" t="inlineStr">
        <is>
          <t>978-5-386-15133-1</t>
        </is>
      </c>
      <c r="S1044" s="1" t="inlineStr">
        <is>
          <t>9785386151331</t>
        </is>
      </c>
      <c r="T1044" s="9" t="n">
        <v>10</v>
      </c>
      <c r="U1044" s="1">
        <f>ROUNDUP(1400*(1-$F$3),2)</f>
        <v/>
      </c>
      <c r="V1044" s="1" t="n">
        <v>695</v>
      </c>
      <c r="Y1044" s="1" t="inlineStr">
        <is>
          <t>Великая Мать: роман</t>
        </is>
      </c>
      <c r="Z1044" s="1" t="inlineStr">
        <is>
          <t>16+</t>
        </is>
      </c>
      <c r="AA1044" s="12" t="n">
        <v>45261</v>
      </c>
      <c r="AB1044" s="1" t="inlineStr">
        <is>
          <t>Художественная литература</t>
        </is>
      </c>
      <c r="AC1044" s="1" t="inlineStr">
        <is>
          <t>Русская литература</t>
        </is>
      </c>
      <c r="AD1044" s="1" t="inlineStr">
        <is>
          <t>Современная литература</t>
        </is>
      </c>
      <c r="AE1044" s="1" t="inlineStr">
        <is>
          <t>офсетная</t>
        </is>
      </c>
      <c r="AG1044" s="1" t="n">
        <v>11155880</v>
      </c>
      <c r="AI1044" s="1" t="inlineStr">
        <is>
          <t>4901990000</t>
        </is>
      </c>
      <c r="AJ1044" s="1" t="inlineStr">
        <is>
          <t>Зпв</t>
        </is>
      </c>
    </row>
    <row r="1045" customFormat="1" s="1">
      <c r="C1045" s="1" t="inlineStr">
        <is>
          <t xml:space="preserve">11003020            </t>
        </is>
      </c>
      <c r="D1045" s="1" t="inlineStr">
        <is>
          <t>Современная российская проза</t>
        </is>
      </c>
      <c r="E1045" s="1" t="inlineStr">
        <is>
          <t>Двойник. Трудности перевода 2. Рой О.Ю.</t>
        </is>
      </c>
      <c r="F1045" s="13" t="inlineStr">
        <is>
          <t>См.обл.</t>
        </is>
      </c>
      <c r="G1045" s="1" t="inlineStr">
        <is>
          <t>Рой О.Ю.</t>
        </is>
      </c>
      <c r="H1045" s="1" t="inlineStr">
        <is>
          <t>60х90/16</t>
        </is>
      </c>
      <c r="I1045" s="1" t="n">
        <v>432</v>
      </c>
      <c r="J1045" s="1" t="inlineStr">
        <is>
          <t>РИПОЛ Классик</t>
        </is>
      </c>
      <c r="M1045" s="1" t="inlineStr">
        <is>
          <t>2023</t>
        </is>
      </c>
      <c r="N1045" s="1" t="inlineStr">
        <is>
          <t>П</t>
        </is>
      </c>
      <c r="O1045" s="9" t="n">
        <v>8</v>
      </c>
      <c r="P1045" s="1">
        <f>ROUNDUP(1420*(1-$F$3),2)</f>
        <v/>
      </c>
      <c r="Q1045" s="1" t="inlineStr">
        <is>
          <t> </t>
        </is>
      </c>
      <c r="R1045" s="1" t="inlineStr">
        <is>
          <t>978-5-386-15068-6</t>
        </is>
      </c>
      <c r="S1045" s="1" t="inlineStr">
        <is>
          <t>9785386150686</t>
        </is>
      </c>
      <c r="T1045" s="9" t="n">
        <v>10</v>
      </c>
      <c r="U1045" s="1">
        <f>ROUNDUP(1290.91*(1-$F$3),2)</f>
        <v/>
      </c>
      <c r="V1045" s="1" t="n">
        <v>554</v>
      </c>
      <c r="Y1045" s="1" t="inlineStr">
        <is>
          <t>Двойник. Трудности перевода 2</t>
        </is>
      </c>
      <c r="Z1045" s="1" t="inlineStr">
        <is>
          <t>16+</t>
        </is>
      </c>
      <c r="AA1045" s="12" t="n">
        <v>45153</v>
      </c>
      <c r="AB1045" s="1" t="inlineStr">
        <is>
          <t>Художественная литература</t>
        </is>
      </c>
      <c r="AC1045" s="1" t="inlineStr">
        <is>
          <t>Русская литература</t>
        </is>
      </c>
      <c r="AD1045" s="1" t="inlineStr">
        <is>
          <t>Современная литература</t>
        </is>
      </c>
      <c r="AE1045" s="1" t="inlineStr">
        <is>
          <t>офсетная</t>
        </is>
      </c>
      <c r="AG1045" s="1" t="n">
        <v>11003020</v>
      </c>
      <c r="AI1045" s="1" t="inlineStr">
        <is>
          <t>4901990000</t>
        </is>
      </c>
    </row>
    <row r="1046" customFormat="1" s="1">
      <c r="C1046" s="1" t="inlineStr">
        <is>
          <t xml:space="preserve">11002840            </t>
        </is>
      </c>
      <c r="D1046" s="1" t="inlineStr">
        <is>
          <t>Современная российская проза</t>
        </is>
      </c>
      <c r="E1046" s="1" t="inlineStr">
        <is>
          <t>Трудности перевода. Рой О.Ю.</t>
        </is>
      </c>
      <c r="F1046" s="13" t="inlineStr">
        <is>
          <t>См.обл.</t>
        </is>
      </c>
      <c r="G1046" s="1" t="inlineStr">
        <is>
          <t>Рой О.Ю.</t>
        </is>
      </c>
      <c r="H1046" s="1" t="inlineStr">
        <is>
          <t>60х90/16</t>
        </is>
      </c>
      <c r="I1046" s="1" t="n">
        <v>368</v>
      </c>
      <c r="J1046" s="1" t="inlineStr">
        <is>
          <t>РИПОЛ Классик</t>
        </is>
      </c>
      <c r="M1046" s="1" t="inlineStr">
        <is>
          <t>2023</t>
        </is>
      </c>
      <c r="N1046" s="1" t="inlineStr">
        <is>
          <t>П</t>
        </is>
      </c>
      <c r="O1046" s="9" t="n">
        <v>10</v>
      </c>
      <c r="P1046" s="1">
        <f>ROUNDUP(1280*(1-$F$3),2)</f>
        <v/>
      </c>
      <c r="Q1046" s="1" t="inlineStr">
        <is>
          <t> </t>
        </is>
      </c>
      <c r="R1046" s="1" t="inlineStr">
        <is>
          <t>978-5-386-15067-9</t>
        </is>
      </c>
      <c r="S1046" s="1" t="inlineStr">
        <is>
          <t>9785386150679</t>
        </is>
      </c>
      <c r="T1046" s="9" t="n">
        <v>10</v>
      </c>
      <c r="U1046" s="1">
        <f>ROUNDUP(1163.64*(1-$F$3),2)</f>
        <v/>
      </c>
      <c r="V1046" s="1" t="n">
        <v>483</v>
      </c>
      <c r="Y1046" s="1" t="inlineStr">
        <is>
          <t>Трудности перевода</t>
        </is>
      </c>
      <c r="Z1046" s="1" t="inlineStr">
        <is>
          <t>16+</t>
        </is>
      </c>
      <c r="AA1046" s="12" t="n">
        <v>45153</v>
      </c>
      <c r="AB1046" s="1" t="inlineStr">
        <is>
          <t>Художественная литература</t>
        </is>
      </c>
      <c r="AC1046" s="1" t="inlineStr">
        <is>
          <t>Русская литература</t>
        </is>
      </c>
      <c r="AD1046" s="1" t="inlineStr">
        <is>
          <t>Современная литература</t>
        </is>
      </c>
      <c r="AE1046" s="1" t="inlineStr">
        <is>
          <t>офсетная</t>
        </is>
      </c>
      <c r="AG1046" s="1" t="n">
        <v>11002840</v>
      </c>
      <c r="AI1046" s="1" t="inlineStr">
        <is>
          <t>4901990000</t>
        </is>
      </c>
    </row>
    <row r="1047" customFormat="1" s="1">
      <c r="C1047" s="1" t="inlineStr">
        <is>
          <t xml:space="preserve">9972830             </t>
        </is>
      </c>
      <c r="D1047" s="1" t="inlineStr">
        <is>
          <t>Современный зарубежный детектив</t>
        </is>
      </c>
      <c r="E1047" s="1" t="inlineStr">
        <is>
          <t>Защитник. Каролина А.</t>
        </is>
      </c>
      <c r="F1047" s="13" t="inlineStr">
        <is>
          <t>См.обл.</t>
        </is>
      </c>
      <c r="G1047" s="1" t="inlineStr">
        <is>
          <t>Каролина А.</t>
        </is>
      </c>
      <c r="H1047" s="1" t="inlineStr">
        <is>
          <t>60х90/16</t>
        </is>
      </c>
      <c r="I1047" s="1" t="n">
        <v>368</v>
      </c>
      <c r="J1047" s="1" t="inlineStr">
        <is>
          <t>РИПОЛ Классик</t>
        </is>
      </c>
      <c r="M1047" s="1" t="inlineStr">
        <is>
          <t>2022</t>
        </is>
      </c>
      <c r="N1047" s="1" t="inlineStr">
        <is>
          <t>П</t>
        </is>
      </c>
      <c r="O1047" s="9" t="n">
        <v>10</v>
      </c>
      <c r="P1047" s="1">
        <f>ROUNDUP(1100*(1-$F$3),2)</f>
        <v/>
      </c>
      <c r="Q1047" s="1" t="inlineStr">
        <is>
          <t> </t>
        </is>
      </c>
      <c r="R1047" s="1" t="inlineStr">
        <is>
          <t>978-5-386-14542-2</t>
        </is>
      </c>
      <c r="S1047" s="1" t="inlineStr">
        <is>
          <t>9785386145422</t>
        </is>
      </c>
      <c r="T1047" s="9" t="n">
        <v>10</v>
      </c>
      <c r="U1047" s="1">
        <f>ROUNDUP(1000*(1-$F$3),2)</f>
        <v/>
      </c>
      <c r="V1047" s="1" t="n">
        <v>534</v>
      </c>
      <c r="Y1047" s="1" t="inlineStr">
        <is>
          <t>Защитник</t>
        </is>
      </c>
      <c r="Z1047" s="1" t="inlineStr">
        <is>
          <t>18+</t>
        </is>
      </c>
      <c r="AA1047" s="12" t="n">
        <v>44512</v>
      </c>
      <c r="AB1047" s="1" t="inlineStr">
        <is>
          <t>Художественная литература</t>
        </is>
      </c>
      <c r="AC1047" s="1" t="inlineStr">
        <is>
          <t>Детективы. Боевики. Триллеры</t>
        </is>
      </c>
      <c r="AD1047" s="1" t="inlineStr">
        <is>
          <t>Зарубежный детектив</t>
        </is>
      </c>
      <c r="AE1047" s="1" t="inlineStr">
        <is>
          <t>офсетная</t>
        </is>
      </c>
      <c r="AG1047" s="1" t="n">
        <v>9972830</v>
      </c>
      <c r="AI1047" s="1" t="inlineStr">
        <is>
          <t>4901990000</t>
        </is>
      </c>
      <c r="AJ1047" s="1" t="inlineStr">
        <is>
          <t>Зпв</t>
        </is>
      </c>
    </row>
    <row r="1048" customFormat="1" s="1">
      <c r="C1048" s="1" t="inlineStr">
        <is>
          <t xml:space="preserve">9975250             </t>
        </is>
      </c>
      <c r="D1048" s="1" t="inlineStr">
        <is>
          <t>Современный зарубежный детектив</t>
        </is>
      </c>
      <c r="E1048" s="1" t="inlineStr">
        <is>
          <t>Очень плохая история. Форбс Э.</t>
        </is>
      </c>
      <c r="F1048" s="13" t="inlineStr">
        <is>
          <t>См.обл.</t>
        </is>
      </c>
      <c r="G1048" s="1" t="inlineStr">
        <is>
          <t>Форбс Э.</t>
        </is>
      </c>
      <c r="H1048" s="1" t="inlineStr">
        <is>
          <t>60х90/16</t>
        </is>
      </c>
      <c r="I1048" s="1" t="n">
        <v>448</v>
      </c>
      <c r="J1048" s="1" t="inlineStr">
        <is>
          <t>РИПОЛ Классик</t>
        </is>
      </c>
      <c r="M1048" s="1" t="inlineStr">
        <is>
          <t>2022</t>
        </is>
      </c>
      <c r="N1048" s="1" t="inlineStr">
        <is>
          <t>П</t>
        </is>
      </c>
      <c r="O1048" s="9" t="n">
        <v>10</v>
      </c>
      <c r="P1048" s="1">
        <f>ROUNDUP(1390*(1-$F$3),2)</f>
        <v/>
      </c>
      <c r="Q1048" s="1" t="inlineStr">
        <is>
          <t> </t>
        </is>
      </c>
      <c r="R1048" s="1" t="inlineStr">
        <is>
          <t>978-5-386-14569-9</t>
        </is>
      </c>
      <c r="S1048" s="1" t="inlineStr">
        <is>
          <t>9785386145699</t>
        </is>
      </c>
      <c r="T1048" s="9" t="n">
        <v>10</v>
      </c>
      <c r="U1048" s="1">
        <f>ROUNDUP(1263.64*(1-$F$3),2)</f>
        <v/>
      </c>
      <c r="V1048" s="1" t="n">
        <v>507</v>
      </c>
      <c r="Y1048" s="1" t="inlineStr">
        <is>
          <t>Очень плохая история</t>
        </is>
      </c>
      <c r="Z1048" s="1" t="inlineStr">
        <is>
          <t>16+</t>
        </is>
      </c>
      <c r="AA1048" s="12" t="n">
        <v>44506</v>
      </c>
      <c r="AB1048" s="1" t="inlineStr">
        <is>
          <t>Художественная литература</t>
        </is>
      </c>
      <c r="AC1048" s="1" t="inlineStr">
        <is>
          <t>Детективы. Боевики. Триллеры</t>
        </is>
      </c>
      <c r="AD1048" s="1" t="inlineStr">
        <is>
          <t>Зарубежный детектив</t>
        </is>
      </c>
      <c r="AE1048" s="1" t="inlineStr">
        <is>
          <t>офсетная</t>
        </is>
      </c>
      <c r="AG1048" s="1" t="n">
        <v>9975250</v>
      </c>
      <c r="AI1048" s="1" t="inlineStr">
        <is>
          <t>4901990000</t>
        </is>
      </c>
      <c r="AJ1048" s="1" t="inlineStr">
        <is>
          <t>Зпв</t>
        </is>
      </c>
    </row>
    <row r="1049" customFormat="1" s="1">
      <c r="C1049" s="1" t="inlineStr">
        <is>
          <t xml:space="preserve">9680970             </t>
        </is>
      </c>
      <c r="D1049" s="1" t="inlineStr">
        <is>
          <t>Современный зарубежный детектив</t>
        </is>
      </c>
      <c r="E1049" s="1" t="inlineStr">
        <is>
          <t>Способные люди. Экман К.</t>
        </is>
      </c>
      <c r="F1049" s="13" t="inlineStr">
        <is>
          <t>См.обл.</t>
        </is>
      </c>
      <c r="G1049" s="1" t="inlineStr">
        <is>
          <t>Экман К.</t>
        </is>
      </c>
      <c r="H1049" s="1" t="inlineStr">
        <is>
          <t>60х90/16</t>
        </is>
      </c>
      <c r="I1049" s="1" t="n">
        <v>352</v>
      </c>
      <c r="J1049" s="1" t="inlineStr">
        <is>
          <t>РИПОЛ Классик</t>
        </is>
      </c>
      <c r="M1049" s="1" t="inlineStr">
        <is>
          <t>2021</t>
        </is>
      </c>
      <c r="N1049" s="1" t="inlineStr">
        <is>
          <t>П</t>
        </is>
      </c>
      <c r="O1049" s="9" t="n">
        <v>12</v>
      </c>
      <c r="P1049" s="1">
        <f>ROUNDUP(1240*(1-$F$3),2)</f>
        <v/>
      </c>
      <c r="Q1049" s="1" t="inlineStr">
        <is>
          <t> </t>
        </is>
      </c>
      <c r="R1049" s="1" t="inlineStr">
        <is>
          <t>978-5-386-14209-4</t>
        </is>
      </c>
      <c r="S1049" s="1" t="inlineStr">
        <is>
          <t>9785386142094</t>
        </is>
      </c>
      <c r="T1049" s="9" t="n">
        <v>10</v>
      </c>
      <c r="U1049" s="1">
        <f>ROUNDUP(1127.27*(1-$F$3),2)</f>
        <v/>
      </c>
      <c r="V1049" s="1" t="n">
        <v>441</v>
      </c>
      <c r="Y1049" s="1" t="inlineStr">
        <is>
          <t>Способные люди</t>
        </is>
      </c>
      <c r="Z1049" s="1" t="inlineStr">
        <is>
          <t>18+</t>
        </is>
      </c>
      <c r="AA1049" s="12" t="n">
        <v>44366</v>
      </c>
      <c r="AB1049" s="1" t="inlineStr">
        <is>
          <t>Художественная литература</t>
        </is>
      </c>
      <c r="AC1049" s="1" t="inlineStr">
        <is>
          <t>Детективы. Боевики. Триллеры</t>
        </is>
      </c>
      <c r="AD1049" s="1" t="inlineStr">
        <is>
          <t>Зарубежный детектив</t>
        </is>
      </c>
      <c r="AE1049" s="1" t="inlineStr">
        <is>
          <t>офсетная</t>
        </is>
      </c>
      <c r="AG1049" s="1" t="n">
        <v>9680970</v>
      </c>
      <c r="AI1049" s="1" t="inlineStr">
        <is>
          <t>4901990000</t>
        </is>
      </c>
      <c r="AJ1049" s="1" t="inlineStr">
        <is>
          <t>Зпв</t>
        </is>
      </c>
    </row>
    <row r="1050" customFormat="1" s="1">
      <c r="C1050" s="1" t="inlineStr">
        <is>
          <t xml:space="preserve">8740520             </t>
        </is>
      </c>
      <c r="D1050" s="1" t="inlineStr">
        <is>
          <t>Союз писателей СПБ</t>
        </is>
      </c>
      <c r="E1050" s="1" t="inlineStr">
        <is>
          <t>Стихотворения. Соснора В.А.</t>
        </is>
      </c>
      <c r="F1050" s="13" t="inlineStr">
        <is>
          <t>См.обл.</t>
        </is>
      </c>
      <c r="G1050" s="1" t="inlineStr">
        <is>
          <t>Соснора В.А.</t>
        </is>
      </c>
      <c r="H1050" s="1" t="inlineStr">
        <is>
          <t>60х90/16</t>
        </is>
      </c>
      <c r="I1050" s="1" t="n">
        <v>910</v>
      </c>
      <c r="J1050" s="1" t="inlineStr">
        <is>
          <t>РИПОЛ Классик</t>
        </is>
      </c>
      <c r="K1050" s="1" t="inlineStr">
        <is>
          <t>Пальмира</t>
        </is>
      </c>
      <c r="M1050" s="1" t="inlineStr">
        <is>
          <t>2018</t>
        </is>
      </c>
      <c r="N1050" s="1" t="inlineStr">
        <is>
          <t>П</t>
        </is>
      </c>
      <c r="O1050" s="9" t="n">
        <v>6</v>
      </c>
      <c r="P1050" s="1">
        <f>ROUNDUP(2209.9*(1-$F$3),2)</f>
        <v/>
      </c>
      <c r="Q1050" s="1" t="inlineStr">
        <is>
          <t> </t>
        </is>
      </c>
      <c r="R1050" s="1" t="inlineStr">
        <is>
          <t>978-5-386-12177-8</t>
        </is>
      </c>
      <c r="S1050" s="1" t="inlineStr">
        <is>
          <t>9785386121778</t>
        </is>
      </c>
      <c r="T1050" s="9" t="n">
        <v>10</v>
      </c>
      <c r="U1050" s="1">
        <f>ROUNDUP(2009*(1-$F$3),2)</f>
        <v/>
      </c>
      <c r="V1050" s="1" t="n">
        <v>1039</v>
      </c>
      <c r="Y1050" s="1" t="inlineStr">
        <is>
          <t>Стихотворения</t>
        </is>
      </c>
      <c r="Z1050" s="1" t="inlineStr">
        <is>
          <t>18+</t>
        </is>
      </c>
      <c r="AA1050" s="12" t="n">
        <v>43348</v>
      </c>
      <c r="AB1050" s="1" t="inlineStr">
        <is>
          <t>Художественная литература</t>
        </is>
      </c>
      <c r="AC1050" s="1" t="inlineStr">
        <is>
          <t>Поэзия</t>
        </is>
      </c>
      <c r="AD1050" s="1" t="inlineStr">
        <is>
          <t>Русская поэзия</t>
        </is>
      </c>
      <c r="AE1050" s="1" t="inlineStr">
        <is>
          <t>офсетная</t>
        </is>
      </c>
      <c r="AG1050" s="1" t="n">
        <v>8740520</v>
      </c>
      <c r="AI1050" s="1" t="inlineStr">
        <is>
          <t>4901990000</t>
        </is>
      </c>
    </row>
    <row r="1051" customFormat="1" s="1">
      <c r="C1051" s="1" t="inlineStr">
        <is>
          <t xml:space="preserve">8485130             </t>
        </is>
      </c>
      <c r="D1051" s="1" t="inlineStr">
        <is>
          <t>С-П</t>
        </is>
      </c>
      <c r="E1051" s="1" t="inlineStr">
        <is>
          <t>За моим снегом. Исаева М.</t>
        </is>
      </c>
      <c r="F1051" s="13" t="inlineStr">
        <is>
          <t>См.обл.</t>
        </is>
      </c>
      <c r="G1051" s="1" t="inlineStr">
        <is>
          <t>Исаева М.</t>
        </is>
      </c>
      <c r="H1051" s="1" t="inlineStr">
        <is>
          <t>70х100/32</t>
        </is>
      </c>
      <c r="I1051" s="1" t="n">
        <v>128</v>
      </c>
      <c r="J1051" s="1" t="inlineStr">
        <is>
          <t>РИПОЛ Классик</t>
        </is>
      </c>
      <c r="M1051" s="1" t="inlineStr">
        <is>
          <t>2018</t>
        </is>
      </c>
      <c r="N1051" s="1" t="inlineStr">
        <is>
          <t>П</t>
        </is>
      </c>
      <c r="O1051" s="9" t="n">
        <v>40</v>
      </c>
      <c r="P1051" s="1">
        <f>ROUNDUP(662*(1-$F$3),2)</f>
        <v/>
      </c>
      <c r="Q1051" s="1" t="inlineStr">
        <is>
          <t> </t>
        </is>
      </c>
      <c r="R1051" s="1" t="inlineStr">
        <is>
          <t>978-5-386-10567-9</t>
        </is>
      </c>
      <c r="S1051" s="1" t="inlineStr">
        <is>
          <t>9785386105679</t>
        </is>
      </c>
      <c r="T1051" s="9" t="n">
        <v>22</v>
      </c>
      <c r="U1051" s="1">
        <f>ROUNDUP(542.62*(1-$F$3),2)</f>
        <v/>
      </c>
      <c r="V1051" s="1" t="n">
        <v>188</v>
      </c>
      <c r="Y1051" s="1" t="inlineStr">
        <is>
          <t>За моим снегом</t>
        </is>
      </c>
      <c r="Z1051" s="1" t="inlineStr">
        <is>
          <t>12+</t>
        </is>
      </c>
      <c r="AA1051" s="12" t="n">
        <v>43139</v>
      </c>
      <c r="AB1051" s="1" t="inlineStr">
        <is>
          <t>Художественная литература</t>
        </is>
      </c>
      <c r="AC1051" s="1" t="inlineStr">
        <is>
          <t>Поэзия</t>
        </is>
      </c>
      <c r="AD1051" s="1" t="inlineStr">
        <is>
          <t>Русская поэзия</t>
        </is>
      </c>
      <c r="AE1051" s="1" t="inlineStr">
        <is>
          <t>офсетная</t>
        </is>
      </c>
      <c r="AG1051" s="1" t="n">
        <v>8485130</v>
      </c>
      <c r="AI1051" s="1" t="inlineStr">
        <is>
          <t>4901990000</t>
        </is>
      </c>
    </row>
    <row r="1052" customFormat="1" s="1">
      <c r="C1052" s="1" t="inlineStr">
        <is>
          <t xml:space="preserve">8558730             </t>
        </is>
      </c>
      <c r="D1052" s="1" t="inlineStr">
        <is>
          <t>С-П</t>
        </is>
      </c>
      <c r="E1052" s="1" t="inlineStr">
        <is>
          <t>Когда домом правит зоопарк. Самарина Л., Шлыков А</t>
        </is>
      </c>
      <c r="F1052" s="13" t="inlineStr">
        <is>
          <t>См.обл.</t>
        </is>
      </c>
      <c r="G1052" s="1" t="inlineStr">
        <is>
          <t>Самарина Л., Шлыков А.</t>
        </is>
      </c>
      <c r="H1052" s="1" t="inlineStr">
        <is>
          <t>60х90/16</t>
        </is>
      </c>
      <c r="I1052" s="1" t="n">
        <v>204</v>
      </c>
      <c r="J1052" s="1" t="inlineStr">
        <is>
          <t>РИПОЛ Классик</t>
        </is>
      </c>
      <c r="M1052" s="1" t="inlineStr">
        <is>
          <t>2018</t>
        </is>
      </c>
      <c r="N1052" s="1" t="inlineStr">
        <is>
          <t>П</t>
        </is>
      </c>
      <c r="O1052" s="9" t="n">
        <v>14</v>
      </c>
      <c r="P1052" s="1">
        <f>ROUNDUP(853.5*(1-$F$3),2)</f>
        <v/>
      </c>
      <c r="Q1052" s="1" t="inlineStr">
        <is>
          <t> </t>
        </is>
      </c>
      <c r="R1052" s="1" t="inlineStr">
        <is>
          <t>978-5-386-10643-0</t>
        </is>
      </c>
      <c r="S1052" s="1" t="inlineStr">
        <is>
          <t>9785386106430</t>
        </is>
      </c>
      <c r="T1052" s="9" t="n">
        <v>10</v>
      </c>
      <c r="U1052" s="1">
        <f>ROUNDUP(775.91*(1-$F$3),2)</f>
        <v/>
      </c>
      <c r="V1052" s="1" t="n">
        <v>323</v>
      </c>
      <c r="Y1052" s="1" t="inlineStr">
        <is>
          <t>Когда домом правит зоопарк</t>
        </is>
      </c>
      <c r="Z1052" s="1" t="inlineStr">
        <is>
          <t>12+</t>
        </is>
      </c>
      <c r="AA1052" s="12" t="n">
        <v>43171</v>
      </c>
      <c r="AB1052" s="1" t="inlineStr">
        <is>
          <t>Художественная литература</t>
        </is>
      </c>
      <c r="AC1052" s="1" t="inlineStr">
        <is>
          <t>Русская литература</t>
        </is>
      </c>
      <c r="AD1052" s="1" t="inlineStr">
        <is>
          <t>Современная литература</t>
        </is>
      </c>
      <c r="AE1052" s="1" t="inlineStr">
        <is>
          <t>офсетная</t>
        </is>
      </c>
      <c r="AG1052" s="1" t="n">
        <v>8558730</v>
      </c>
      <c r="AI1052" s="1" t="inlineStr">
        <is>
          <t>4901990000</t>
        </is>
      </c>
    </row>
    <row r="1053" customFormat="1" s="1">
      <c r="C1053" s="1" t="inlineStr">
        <is>
          <t xml:space="preserve">8639700             </t>
        </is>
      </c>
      <c r="D1053" s="1" t="inlineStr">
        <is>
          <t>С-П</t>
        </is>
      </c>
      <c r="E1053" s="1" t="inlineStr">
        <is>
          <t>Когда солнце станет белым. Наташа</t>
        </is>
      </c>
      <c r="F1053" s="13" t="inlineStr">
        <is>
          <t>См.обл.</t>
        </is>
      </c>
      <c r="G1053" s="1" t="inlineStr">
        <is>
          <t>Наташа</t>
        </is>
      </c>
      <c r="H1053" s="1" t="inlineStr">
        <is>
          <t>60х90/16</t>
        </is>
      </c>
      <c r="I1053" s="1" t="n">
        <v>250</v>
      </c>
      <c r="J1053" s="1" t="inlineStr">
        <is>
          <t>РИПОЛ Классик</t>
        </is>
      </c>
      <c r="M1053" s="1" t="inlineStr">
        <is>
          <t>2018</t>
        </is>
      </c>
      <c r="N1053" s="1" t="inlineStr">
        <is>
          <t>П</t>
        </is>
      </c>
      <c r="O1053" s="9" t="n">
        <v>14</v>
      </c>
      <c r="P1053" s="1">
        <f>ROUNDUP(538.1*(1-$F$3),2)</f>
        <v/>
      </c>
      <c r="Q1053" s="1" t="inlineStr">
        <is>
          <t> </t>
        </is>
      </c>
      <c r="R1053" s="1" t="inlineStr">
        <is>
          <t>978-5-386-10862-5</t>
        </is>
      </c>
      <c r="S1053" s="1" t="inlineStr">
        <is>
          <t>9785386108625</t>
        </is>
      </c>
      <c r="T1053" s="9" t="n">
        <v>10</v>
      </c>
      <c r="U1053" s="1">
        <f>ROUNDUP(489.18*(1-$F$3),2)</f>
        <v/>
      </c>
      <c r="V1053" s="1" t="n">
        <v>425</v>
      </c>
      <c r="Y1053" s="1" t="inlineStr">
        <is>
          <t>Когда солнце станет белым</t>
        </is>
      </c>
      <c r="Z1053" s="1" t="inlineStr">
        <is>
          <t>16+</t>
        </is>
      </c>
      <c r="AA1053" s="12" t="n">
        <v>43230</v>
      </c>
      <c r="AB1053" s="1" t="inlineStr">
        <is>
          <t>Художественная литература</t>
        </is>
      </c>
      <c r="AC1053" s="1" t="inlineStr">
        <is>
          <t>Русская литература</t>
        </is>
      </c>
      <c r="AD1053" s="1" t="inlineStr">
        <is>
          <t>Современная литература</t>
        </is>
      </c>
      <c r="AE1053" s="1" t="inlineStr">
        <is>
          <t>офсетная</t>
        </is>
      </c>
      <c r="AG1053" s="1" t="n">
        <v>8639700</v>
      </c>
      <c r="AI1053" s="1" t="inlineStr">
        <is>
          <t>4901990000</t>
        </is>
      </c>
    </row>
    <row r="1054" customFormat="1" s="1">
      <c r="C1054" s="1" t="inlineStr">
        <is>
          <t xml:space="preserve">7680150             </t>
        </is>
      </c>
      <c r="D1054" s="1" t="inlineStr">
        <is>
          <t>С-П</t>
        </is>
      </c>
      <c r="E1054" s="1" t="inlineStr">
        <is>
          <t>Я буду длиться вечно. Маранс П.</t>
        </is>
      </c>
      <c r="F1054" s="13" t="inlineStr">
        <is>
          <t>См.обл.</t>
        </is>
      </c>
      <c r="G1054" s="1" t="inlineStr">
        <is>
          <t>Маранс П.</t>
        </is>
      </c>
      <c r="H1054" s="1" t="inlineStr">
        <is>
          <t>60х90/16</t>
        </is>
      </c>
      <c r="I1054" s="1" t="n">
        <v>400</v>
      </c>
      <c r="J1054" s="1" t="inlineStr">
        <is>
          <t>РИПОЛ Классик</t>
        </is>
      </c>
      <c r="M1054" s="1" t="inlineStr">
        <is>
          <t>2016</t>
        </is>
      </c>
      <c r="N1054" s="1" t="inlineStr">
        <is>
          <t>О</t>
        </is>
      </c>
      <c r="O1054" s="9" t="n">
        <v>12</v>
      </c>
      <c r="P1054" s="1">
        <f>ROUNDUP(860*(1-$F$3),2)</f>
        <v/>
      </c>
      <c r="Q1054" s="1" t="inlineStr">
        <is>
          <t> </t>
        </is>
      </c>
      <c r="R1054" s="1" t="inlineStr">
        <is>
          <t>978-5-600-01107-6</t>
        </is>
      </c>
      <c r="S1054" s="1" t="inlineStr">
        <is>
          <t>9785600011076</t>
        </is>
      </c>
      <c r="T1054" s="9" t="n">
        <v>10</v>
      </c>
      <c r="U1054" s="1">
        <f>ROUNDUP(781.82*(1-$F$3),2)</f>
        <v/>
      </c>
      <c r="V1054" s="1" t="n">
        <v>515</v>
      </c>
      <c r="Y1054" s="1" t="inlineStr">
        <is>
          <t>Я буду длиться вечно</t>
        </is>
      </c>
      <c r="Z1054" s="1" t="inlineStr">
        <is>
          <t>16+</t>
        </is>
      </c>
      <c r="AA1054" s="12" t="n">
        <v>42586</v>
      </c>
      <c r="AB1054" s="1" t="inlineStr">
        <is>
          <t>Художественная литература</t>
        </is>
      </c>
      <c r="AC1054" s="1" t="inlineStr">
        <is>
          <t>Русская литература</t>
        </is>
      </c>
      <c r="AD1054" s="1" t="inlineStr">
        <is>
          <t>Современная литература</t>
        </is>
      </c>
      <c r="AE1054" s="1" t="inlineStr">
        <is>
          <t> </t>
        </is>
      </c>
      <c r="AG1054" s="1" t="n">
        <v>7680150</v>
      </c>
      <c r="AI1054" s="1" t="inlineStr">
        <is>
          <t>4901990000</t>
        </is>
      </c>
    </row>
    <row r="1055" customFormat="1" s="11">
      <c r="A1055" s="11" t="inlineStr">
        <is>
          <t>нов</t>
        </is>
      </c>
      <c r="C1055" s="11" t="inlineStr">
        <is>
          <t xml:space="preserve">12243960            </t>
        </is>
      </c>
      <c r="D1055" s="11" t="inlineStr">
        <is>
          <t>Страна Узнавалия</t>
        </is>
      </c>
      <c r="E1055" s="11" t="inlineStr">
        <is>
          <t>Анюткина берлога. История о настоящих медведях. Корсак Н.</t>
        </is>
      </c>
      <c r="F1055" s="14" t="inlineStr">
        <is>
          <t>См.обл.</t>
        </is>
      </c>
      <c r="G1055" s="11" t="inlineStr">
        <is>
          <t>Корсак Н.</t>
        </is>
      </c>
      <c r="H1055" s="11" t="inlineStr">
        <is>
          <t>70х100/16</t>
        </is>
      </c>
      <c r="I1055" s="11" t="n">
        <v>160</v>
      </c>
      <c r="J1055" s="11" t="inlineStr">
        <is>
          <t>РИПОЛ Классик</t>
        </is>
      </c>
      <c r="M1055" s="11" t="inlineStr">
        <is>
          <t>2026</t>
        </is>
      </c>
      <c r="N1055" s="11" t="inlineStr">
        <is>
          <t>П</t>
        </is>
      </c>
      <c r="O1055" s="26" t="n">
        <v>18</v>
      </c>
      <c r="P1055" s="11">
        <f>ROUNDUP(790*(1-$F$3),2)</f>
        <v/>
      </c>
      <c r="Q1055" s="11" t="inlineStr">
        <is>
          <t> </t>
        </is>
      </c>
      <c r="R1055" s="11" t="inlineStr">
        <is>
          <t>978-5-386-15673-2</t>
        </is>
      </c>
      <c r="S1055" s="11" t="inlineStr">
        <is>
          <t>9785386156732</t>
        </is>
      </c>
      <c r="T1055" s="26" t="n">
        <v>10</v>
      </c>
      <c r="U1055" s="11">
        <f>ROUNDUP(718.18*(1-$F$3),2)</f>
        <v/>
      </c>
      <c r="V1055" s="11" t="n">
        <v>385</v>
      </c>
      <c r="Y1055" s="11" t="inlineStr">
        <is>
          <t>Анюткина берлога. История о настоящих медведях</t>
        </is>
      </c>
      <c r="Z1055" s="11" t="inlineStr">
        <is>
          <t>6 +</t>
        </is>
      </c>
      <c r="AA1055" s="15" t="n">
        <v>46261</v>
      </c>
      <c r="AB1055" s="11" t="inlineStr">
        <is>
          <t>Детская литература</t>
        </is>
      </c>
      <c r="AC1055" s="11" t="inlineStr">
        <is>
          <t>Познавательная литература для детей</t>
        </is>
      </c>
      <c r="AD1055" s="11" t="inlineStr">
        <is>
          <t>Окружающий мир</t>
        </is>
      </c>
      <c r="AE1055" s="11" t="inlineStr">
        <is>
          <t>офсетная</t>
        </is>
      </c>
      <c r="AG1055" s="11" t="n">
        <v>12243960</v>
      </c>
      <c r="AI1055" s="11" t="inlineStr">
        <is>
          <t>4901990000</t>
        </is>
      </c>
    </row>
    <row r="1056" customFormat="1" s="1">
      <c r="C1056" s="1" t="inlineStr">
        <is>
          <t xml:space="preserve">10485060            </t>
        </is>
      </c>
      <c r="D1056" s="1" t="inlineStr">
        <is>
          <t>Сумка чудес</t>
        </is>
      </c>
      <c r="E1056" s="1" t="inlineStr">
        <is>
          <t>Когда дружба провожала меня домой. Гриффин П.</t>
        </is>
      </c>
      <c r="F1056" s="13" t="inlineStr">
        <is>
          <t>См.обл.</t>
        </is>
      </c>
      <c r="G1056" s="1" t="inlineStr">
        <is>
          <t>Гриффин П.</t>
        </is>
      </c>
      <c r="H1056" s="1" t="inlineStr">
        <is>
          <t>60х90/16</t>
        </is>
      </c>
      <c r="I1056" s="1" t="n">
        <v>304</v>
      </c>
      <c r="J1056" s="1" t="inlineStr">
        <is>
          <t>РИПОЛ Классик</t>
        </is>
      </c>
      <c r="M1056" s="1" t="inlineStr">
        <is>
          <t>2022</t>
        </is>
      </c>
      <c r="N1056" s="1" t="inlineStr">
        <is>
          <t>П</t>
        </is>
      </c>
      <c r="O1056" s="9" t="n">
        <v>14</v>
      </c>
      <c r="P1056" s="1">
        <f>ROUNDUP(1030*(1-$F$3),2)</f>
        <v/>
      </c>
      <c r="Q1056" s="1" t="inlineStr">
        <is>
          <t> </t>
        </is>
      </c>
      <c r="R1056" s="1" t="inlineStr">
        <is>
          <t>978-5-386-14836-2</t>
        </is>
      </c>
      <c r="S1056" s="1" t="inlineStr">
        <is>
          <t>9785386148362</t>
        </is>
      </c>
      <c r="T1056" s="9" t="n">
        <v>10</v>
      </c>
      <c r="U1056" s="1">
        <f>ROUNDUP(936.36*(1-$F$3),2)</f>
        <v/>
      </c>
      <c r="V1056" s="1" t="n">
        <v>425</v>
      </c>
      <c r="Y1056" s="1" t="inlineStr">
        <is>
          <t>Когда дружба провожала меня домой</t>
        </is>
      </c>
      <c r="Z1056" s="1" t="inlineStr">
        <is>
          <t>6 +</t>
        </is>
      </c>
      <c r="AA1056" s="12" t="n">
        <v>44719</v>
      </c>
      <c r="AB1056" s="1" t="inlineStr">
        <is>
          <t>Детская литература</t>
        </is>
      </c>
      <c r="AC1056" s="1" t="inlineStr">
        <is>
          <t>Художественная литература</t>
        </is>
      </c>
      <c r="AD1056" s="1" t="inlineStr">
        <is>
          <t>Проза. Драматургия</t>
        </is>
      </c>
      <c r="AE1056" s="1" t="inlineStr">
        <is>
          <t>офсетная</t>
        </is>
      </c>
      <c r="AG1056" s="1" t="n">
        <v>10485060</v>
      </c>
      <c r="AI1056" s="1" t="inlineStr">
        <is>
          <t>4901990000</t>
        </is>
      </c>
    </row>
    <row r="1057" customFormat="1" s="1">
      <c r="C1057" s="1" t="inlineStr">
        <is>
          <t xml:space="preserve">8979210             </t>
        </is>
      </c>
      <c r="D1057" s="1" t="inlineStr">
        <is>
          <t>Сумка чудес</t>
        </is>
      </c>
      <c r="E1057" s="1" t="inlineStr">
        <is>
          <t>Королевский корги. Кроули Дж.</t>
        </is>
      </c>
      <c r="F1057" s="13" t="inlineStr">
        <is>
          <t>См.обл.</t>
        </is>
      </c>
      <c r="G1057" s="1" t="inlineStr">
        <is>
          <t>Кроули Дж.</t>
        </is>
      </c>
      <c r="H1057" s="1" t="inlineStr">
        <is>
          <t>70х90/16</t>
        </is>
      </c>
      <c r="I1057" s="1" t="n">
        <v>272</v>
      </c>
      <c r="J1057" s="1" t="inlineStr">
        <is>
          <t>РИПОЛ Классик</t>
        </is>
      </c>
      <c r="K1057" s="1" t="inlineStr">
        <is>
          <t>Кит</t>
        </is>
      </c>
      <c r="M1057" s="1" t="inlineStr">
        <is>
          <t>2022</t>
        </is>
      </c>
      <c r="N1057" s="1" t="inlineStr">
        <is>
          <t>П</t>
        </is>
      </c>
      <c r="O1057" s="9" t="n">
        <v>8</v>
      </c>
      <c r="P1057" s="1">
        <f>ROUNDUP(1240*(1-$F$3),2)</f>
        <v/>
      </c>
      <c r="Q1057" s="1" t="inlineStr">
        <is>
          <t> </t>
        </is>
      </c>
      <c r="R1057" s="1" t="inlineStr">
        <is>
          <t>978-5-386-12483-0</t>
        </is>
      </c>
      <c r="S1057" s="1" t="inlineStr">
        <is>
          <t>9785386124830</t>
        </is>
      </c>
      <c r="T1057" s="9" t="n">
        <v>10</v>
      </c>
      <c r="U1057" s="1">
        <f>ROUNDUP(1127.27*(1-$F$3),2)</f>
        <v/>
      </c>
      <c r="V1057" s="1" t="n">
        <v>531</v>
      </c>
      <c r="Y1057" s="1" t="inlineStr">
        <is>
          <t>Королевский корги</t>
        </is>
      </c>
      <c r="Z1057" s="1" t="inlineStr">
        <is>
          <t>6 +</t>
        </is>
      </c>
      <c r="AA1057" s="12" t="n">
        <v>43543</v>
      </c>
      <c r="AB1057" s="1" t="inlineStr">
        <is>
          <t>Детская литература</t>
        </is>
      </c>
      <c r="AC1057" s="1" t="inlineStr">
        <is>
          <t>Художественная литература</t>
        </is>
      </c>
      <c r="AD1057" s="1" t="inlineStr">
        <is>
          <t>Приключения</t>
        </is>
      </c>
      <c r="AE1057" s="1" t="inlineStr">
        <is>
          <t>офсетная</t>
        </is>
      </c>
      <c r="AG1057" s="1" t="n">
        <v>8979210</v>
      </c>
      <c r="AI1057" s="1" t="inlineStr">
        <is>
          <t>4901990000</t>
        </is>
      </c>
    </row>
    <row r="1058" customFormat="1" s="1">
      <c r="C1058" s="1" t="inlineStr">
        <is>
          <t xml:space="preserve">8603090             </t>
        </is>
      </c>
      <c r="D1058" s="1" t="inlineStr">
        <is>
          <t>Сумка чудес</t>
        </is>
      </c>
      <c r="E1058" s="1" t="inlineStr">
        <is>
          <t>Креншоу. Эпплгейт К.</t>
        </is>
      </c>
      <c r="F1058" s="13" t="inlineStr">
        <is>
          <t>См.обл.</t>
        </is>
      </c>
      <c r="G1058" s="1" t="inlineStr">
        <is>
          <t>Эпплгейт К.</t>
        </is>
      </c>
      <c r="H1058" s="1" t="inlineStr">
        <is>
          <t>70х90/16</t>
        </is>
      </c>
      <c r="I1058" s="1" t="n">
        <v>208</v>
      </c>
      <c r="J1058" s="1" t="inlineStr">
        <is>
          <t>РИПОЛ Классик</t>
        </is>
      </c>
      <c r="M1058" s="1" t="inlineStr">
        <is>
          <t>2020</t>
        </is>
      </c>
      <c r="N1058" s="1" t="inlineStr">
        <is>
          <t>П</t>
        </is>
      </c>
      <c r="O1058" s="9" t="n">
        <v>14</v>
      </c>
      <c r="P1058" s="1">
        <f>ROUNDUP(883.1*(1-$F$3),2)</f>
        <v/>
      </c>
      <c r="Q1058" s="1" t="inlineStr">
        <is>
          <t> </t>
        </is>
      </c>
      <c r="R1058" s="1" t="inlineStr">
        <is>
          <t>978-5-386-10779-6</t>
        </is>
      </c>
      <c r="S1058" s="1" t="inlineStr">
        <is>
          <t>9785386107796</t>
        </is>
      </c>
      <c r="T1058" s="9" t="n">
        <v>10</v>
      </c>
      <c r="U1058" s="1">
        <f>ROUNDUP(802.82*(1-$F$3),2)</f>
        <v/>
      </c>
      <c r="V1058" s="1" t="n">
        <v>369</v>
      </c>
      <c r="Y1058" s="1" t="inlineStr">
        <is>
          <t>Креншоу</t>
        </is>
      </c>
      <c r="Z1058" s="1" t="inlineStr">
        <is>
          <t>12+</t>
        </is>
      </c>
      <c r="AA1058" s="12" t="n">
        <v>43227</v>
      </c>
      <c r="AB1058" s="1" t="inlineStr">
        <is>
          <t>Детская литература</t>
        </is>
      </c>
      <c r="AC1058" s="1" t="inlineStr">
        <is>
          <t>Художественная литература</t>
        </is>
      </c>
      <c r="AD1058" s="1" t="inlineStr">
        <is>
          <t>Фантастика. Фэнтэзи. Ужастик</t>
        </is>
      </c>
      <c r="AE1058" s="1" t="inlineStr">
        <is>
          <t>офсетная</t>
        </is>
      </c>
      <c r="AG1058" s="1" t="n">
        <v>8603090</v>
      </c>
      <c r="AI1058" s="1" t="inlineStr">
        <is>
          <t>4901990000</t>
        </is>
      </c>
    </row>
    <row r="1059" customFormat="1" s="1">
      <c r="C1059" s="1" t="inlineStr">
        <is>
          <t xml:space="preserve">8905360             </t>
        </is>
      </c>
      <c r="D1059" s="1" t="inlineStr">
        <is>
          <t>Сумка чудес</t>
        </is>
      </c>
      <c r="E1059" s="1" t="inlineStr">
        <is>
          <t>Маленький Йоханнес: сказка. Эден Ф. Ван</t>
        </is>
      </c>
      <c r="F1059" s="13" t="inlineStr">
        <is>
          <t>См.обл.</t>
        </is>
      </c>
      <c r="G1059" s="1" t="inlineStr">
        <is>
          <t>Эден Ф. Ван</t>
        </is>
      </c>
      <c r="H1059" s="1" t="inlineStr">
        <is>
          <t>60х90/16</t>
        </is>
      </c>
      <c r="I1059" s="1" t="n">
        <v>206</v>
      </c>
      <c r="J1059" s="1" t="inlineStr">
        <is>
          <t>РИПОЛ Классик</t>
        </is>
      </c>
      <c r="K1059" s="1" t="inlineStr">
        <is>
          <t>Кит</t>
        </is>
      </c>
      <c r="M1059" s="1" t="inlineStr">
        <is>
          <t>2019</t>
        </is>
      </c>
      <c r="N1059" s="1" t="inlineStr">
        <is>
          <t>П</t>
        </is>
      </c>
      <c r="O1059" s="9" t="n">
        <v>16</v>
      </c>
      <c r="P1059" s="1">
        <f>ROUNDUP(870*(1-$F$3),2)</f>
        <v/>
      </c>
      <c r="Q1059" s="1" t="inlineStr">
        <is>
          <t> </t>
        </is>
      </c>
      <c r="R1059" s="1" t="inlineStr">
        <is>
          <t>978-5-386-12354-3</t>
        </is>
      </c>
      <c r="S1059" s="1" t="inlineStr">
        <is>
          <t>9785386123543</t>
        </is>
      </c>
      <c r="T1059" s="9" t="n">
        <v>10</v>
      </c>
      <c r="U1059" s="1">
        <f>ROUNDUP(790.91*(1-$F$3),2)</f>
        <v/>
      </c>
      <c r="V1059" s="1" t="n">
        <v>334</v>
      </c>
      <c r="Y1059" s="1" t="inlineStr">
        <is>
          <t>Маленький Йоханнес: сказка</t>
        </is>
      </c>
      <c r="Z1059" s="1" t="inlineStr">
        <is>
          <t>12+</t>
        </is>
      </c>
      <c r="AA1059" s="12" t="n">
        <v>43483</v>
      </c>
      <c r="AB1059" s="1" t="inlineStr">
        <is>
          <t>Художественная литература</t>
        </is>
      </c>
      <c r="AC1059" s="1" t="inlineStr">
        <is>
          <t>Зарубежная литература</t>
        </is>
      </c>
      <c r="AD1059" s="1" t="inlineStr">
        <is>
          <t>Европейская литература</t>
        </is>
      </c>
      <c r="AE1059" s="1" t="inlineStr">
        <is>
          <t>офсетная</t>
        </is>
      </c>
      <c r="AG1059" s="1" t="n">
        <v>8905360</v>
      </c>
      <c r="AI1059" s="1" t="inlineStr">
        <is>
          <t>4901990000</t>
        </is>
      </c>
    </row>
    <row r="1060" customFormat="1" s="1">
      <c r="C1060" s="1" t="inlineStr">
        <is>
          <t xml:space="preserve">9091360             </t>
        </is>
      </c>
      <c r="D1060" s="1" t="inlineStr">
        <is>
          <t>Сумка чудес</t>
        </is>
      </c>
      <c r="E1060" s="1" t="inlineStr">
        <is>
          <t>Сын упавшей звезды: роман. Макаллистер М.</t>
        </is>
      </c>
      <c r="F1060" s="13" t="inlineStr">
        <is>
          <t>См.обл.</t>
        </is>
      </c>
      <c r="G1060" s="1" t="inlineStr">
        <is>
          <t>Макаллистер М.</t>
        </is>
      </c>
      <c r="H1060" s="1" t="inlineStr">
        <is>
          <t>60х90/16</t>
        </is>
      </c>
      <c r="I1060" s="1" t="n">
        <v>319</v>
      </c>
      <c r="J1060" s="1" t="inlineStr">
        <is>
          <t>РИПОЛ Классик</t>
        </is>
      </c>
      <c r="K1060" s="1" t="inlineStr">
        <is>
          <t>Кит</t>
        </is>
      </c>
      <c r="M1060" s="1" t="inlineStr">
        <is>
          <t>2019</t>
        </is>
      </c>
      <c r="N1060" s="1" t="inlineStr">
        <is>
          <t>П</t>
        </is>
      </c>
      <c r="O1060" s="9" t="n">
        <v>12</v>
      </c>
      <c r="P1060" s="1">
        <f>ROUNDUP(1023.9*(1-$F$3),2)</f>
        <v/>
      </c>
      <c r="Q1060" s="1" t="inlineStr">
        <is>
          <t> </t>
        </is>
      </c>
      <c r="R1060" s="1" t="inlineStr">
        <is>
          <t>978-5-386-12700-8</t>
        </is>
      </c>
      <c r="S1060" s="1" t="inlineStr">
        <is>
          <t>9785386127008</t>
        </is>
      </c>
      <c r="T1060" s="9" t="n">
        <v>10</v>
      </c>
      <c r="U1060" s="1">
        <f>ROUNDUP(930.82*(1-$F$3),2)</f>
        <v/>
      </c>
      <c r="V1060" s="1" t="n">
        <v>511</v>
      </c>
      <c r="Y1060" s="1" t="inlineStr">
        <is>
          <t>Сын упавшей звезды: роман</t>
        </is>
      </c>
      <c r="Z1060" s="1" t="inlineStr">
        <is>
          <t>6 +</t>
        </is>
      </c>
      <c r="AA1060" s="12" t="n">
        <v>43648</v>
      </c>
      <c r="AB1060" s="1" t="inlineStr">
        <is>
          <t>Детская литература</t>
        </is>
      </c>
      <c r="AC1060" s="1" t="inlineStr">
        <is>
          <t>Художественная литература</t>
        </is>
      </c>
      <c r="AD1060" s="1" t="inlineStr">
        <is>
          <t>Литературная сказка</t>
        </is>
      </c>
      <c r="AE1060" s="1" t="inlineStr">
        <is>
          <t>офсетная</t>
        </is>
      </c>
      <c r="AG1060" s="1" t="n">
        <v>9091360</v>
      </c>
      <c r="AI1060" s="1" t="inlineStr">
        <is>
          <t>4901990000</t>
        </is>
      </c>
    </row>
    <row r="1061" customFormat="1" s="1">
      <c r="C1061" s="1" t="inlineStr">
        <is>
          <t xml:space="preserve">10408220            </t>
        </is>
      </c>
      <c r="D1061" s="1" t="inlineStr">
        <is>
          <t>Сумка чудес</t>
        </is>
      </c>
      <c r="E1061" s="1" t="inlineStr">
        <is>
          <t>Храбрая Беатрис и проклятье дрожунов. Моклер С.</t>
        </is>
      </c>
      <c r="F1061" s="13" t="inlineStr">
        <is>
          <t>См.обл.</t>
        </is>
      </c>
      <c r="G1061" s="1" t="inlineStr">
        <is>
          <t>Моклер С.</t>
        </is>
      </c>
      <c r="H1061" s="1" t="inlineStr">
        <is>
          <t>60х90/16</t>
        </is>
      </c>
      <c r="I1061" s="1" t="n">
        <v>248</v>
      </c>
      <c r="J1061" s="1" t="inlineStr">
        <is>
          <t>РИПОЛ Классик</t>
        </is>
      </c>
      <c r="M1061" s="1" t="inlineStr">
        <is>
          <t>2022</t>
        </is>
      </c>
      <c r="N1061" s="1" t="inlineStr">
        <is>
          <t>П</t>
        </is>
      </c>
      <c r="O1061" s="9" t="n">
        <v>8</v>
      </c>
      <c r="P1061" s="1">
        <f>ROUNDUP(1340*(1-$F$3),2)</f>
        <v/>
      </c>
      <c r="Q1061" s="1" t="inlineStr">
        <is>
          <t> </t>
        </is>
      </c>
      <c r="R1061" s="1" t="inlineStr">
        <is>
          <t>978-5-386-13790-8</t>
        </is>
      </c>
      <c r="S1061" s="1" t="inlineStr">
        <is>
          <t>9785386137908</t>
        </is>
      </c>
      <c r="T1061" s="9" t="n">
        <v>10</v>
      </c>
      <c r="U1061" s="1">
        <f>ROUNDUP(1218.18*(1-$F$3),2)</f>
        <v/>
      </c>
      <c r="V1061" s="1" t="n">
        <v>409</v>
      </c>
      <c r="Y1061" s="1" t="inlineStr">
        <is>
          <t>Храбрая Беатрис и проклятье дрожунов</t>
        </is>
      </c>
      <c r="Z1061" s="1" t="inlineStr">
        <is>
          <t>6 +</t>
        </is>
      </c>
      <c r="AA1061" s="12" t="n">
        <v>44720</v>
      </c>
      <c r="AB1061" s="1" t="inlineStr">
        <is>
          <t>Детская литература</t>
        </is>
      </c>
      <c r="AC1061" s="1" t="inlineStr">
        <is>
          <t>Художественная литература</t>
        </is>
      </c>
      <c r="AD1061" s="1" t="inlineStr">
        <is>
          <t>Фантастика. Фэнтэзи. Ужастик</t>
        </is>
      </c>
      <c r="AE1061" s="1" t="inlineStr">
        <is>
          <t>офсетная</t>
        </is>
      </c>
      <c r="AG1061" s="1" t="n">
        <v>10408220</v>
      </c>
      <c r="AI1061" s="1" t="inlineStr">
        <is>
          <t>4901990000</t>
        </is>
      </c>
    </row>
    <row r="1062" customFormat="1" s="1">
      <c r="C1062" s="1" t="inlineStr">
        <is>
          <t xml:space="preserve">8682240             </t>
        </is>
      </c>
      <c r="D1062" s="1" t="inlineStr">
        <is>
          <t>Сумка чудес</t>
        </is>
      </c>
      <c r="E1062" s="1" t="inlineStr">
        <is>
          <t>Эмма, фавн и потерянная книга. Глейзер М.</t>
        </is>
      </c>
      <c r="F1062" s="13" t="inlineStr">
        <is>
          <t>См.обл.</t>
        </is>
      </c>
      <c r="G1062" s="1" t="inlineStr">
        <is>
          <t>Глейзер М.</t>
        </is>
      </c>
      <c r="H1062" s="1" t="inlineStr">
        <is>
          <t>60х90/16</t>
        </is>
      </c>
      <c r="I1062" s="1" t="n">
        <v>336</v>
      </c>
      <c r="J1062" s="1" t="inlineStr">
        <is>
          <t>РИПОЛ Классик</t>
        </is>
      </c>
      <c r="M1062" s="1" t="inlineStr">
        <is>
          <t>2018</t>
        </is>
      </c>
      <c r="N1062" s="1" t="inlineStr">
        <is>
          <t>П</t>
        </is>
      </c>
      <c r="O1062" s="9" t="n">
        <v>12</v>
      </c>
      <c r="P1062" s="1">
        <f>ROUNDUP(1163.1*(1-$F$3),2)</f>
        <v/>
      </c>
      <c r="Q1062" s="1" t="inlineStr">
        <is>
          <t> </t>
        </is>
      </c>
      <c r="R1062" s="1" t="inlineStr">
        <is>
          <t>978-5-386-10803-8</t>
        </is>
      </c>
      <c r="S1062" s="1" t="inlineStr">
        <is>
          <t>9785386108038</t>
        </is>
      </c>
      <c r="T1062" s="9" t="n">
        <v>10</v>
      </c>
      <c r="U1062" s="1">
        <f>ROUNDUP(1057.36*(1-$F$3),2)</f>
        <v/>
      </c>
      <c r="V1062" s="1" t="n">
        <v>436</v>
      </c>
      <c r="Y1062" s="1" t="inlineStr">
        <is>
          <t>Эмма, фавн и потерянная книга</t>
        </is>
      </c>
      <c r="Z1062" s="1" t="inlineStr">
        <is>
          <t>16+</t>
        </is>
      </c>
      <c r="AA1062" s="12" t="n">
        <v>43319</v>
      </c>
      <c r="AB1062" s="1" t="inlineStr">
        <is>
          <t>Художественная литература</t>
        </is>
      </c>
      <c r="AC1062" s="1" t="inlineStr">
        <is>
          <t>Фантастика. Мистика. Ужасы</t>
        </is>
      </c>
      <c r="AD1062" s="1" t="inlineStr">
        <is>
          <t>Фэнтези</t>
        </is>
      </c>
      <c r="AE1062" s="1" t="inlineStr">
        <is>
          <t>офсетная</t>
        </is>
      </c>
      <c r="AG1062" s="1" t="n">
        <v>8682240</v>
      </c>
      <c r="AI1062" s="1" t="inlineStr">
        <is>
          <t>4901990000</t>
        </is>
      </c>
    </row>
    <row r="1063" customFormat="1" s="1">
      <c r="C1063" s="1" t="inlineStr">
        <is>
          <t xml:space="preserve">10292700            </t>
        </is>
      </c>
      <c r="D1063" s="1" t="inlineStr">
        <is>
          <t>Счастливый поросёнок</t>
        </is>
      </c>
      <c r="E1063" s="1" t="inlineStr">
        <is>
          <t>Джоуи и бабочка. Хунбо Г.</t>
        </is>
      </c>
      <c r="F1063" s="13" t="inlineStr">
        <is>
          <t>См.обл.</t>
        </is>
      </c>
      <c r="G1063" s="1" t="inlineStr">
        <is>
          <t>Хунбо Г.</t>
        </is>
      </c>
      <c r="H1063" s="1" t="inlineStr">
        <is>
          <t>60х90/8</t>
        </is>
      </c>
      <c r="I1063" s="1" t="n">
        <v>32</v>
      </c>
      <c r="J1063" s="1" t="inlineStr">
        <is>
          <t>РИПОЛ Классик</t>
        </is>
      </c>
      <c r="M1063" s="1" t="inlineStr">
        <is>
          <t>2022</t>
        </is>
      </c>
      <c r="N1063" s="1" t="inlineStr">
        <is>
          <t>П</t>
        </is>
      </c>
      <c r="O1063" s="9" t="n">
        <v>10</v>
      </c>
      <c r="P1063" s="1">
        <f>ROUNDUP(920*(1-$F$3),2)</f>
        <v/>
      </c>
      <c r="Q1063" s="1" t="inlineStr">
        <is>
          <t> </t>
        </is>
      </c>
      <c r="R1063" s="1" t="inlineStr">
        <is>
          <t>978-5-386-14680-1</t>
        </is>
      </c>
      <c r="S1063" s="1" t="inlineStr">
        <is>
          <t>9785386146801</t>
        </is>
      </c>
      <c r="T1063" s="9" t="n">
        <v>10</v>
      </c>
      <c r="U1063" s="1">
        <f>ROUNDUP(836.36*(1-$F$3),2)</f>
        <v/>
      </c>
      <c r="V1063" s="1" t="n">
        <v>382</v>
      </c>
      <c r="Y1063" s="1" t="inlineStr">
        <is>
          <t>Джоуи и бабочка</t>
        </is>
      </c>
      <c r="Z1063" s="1" t="inlineStr">
        <is>
          <t>0 +</t>
        </is>
      </c>
      <c r="AA1063" s="12" t="n">
        <v>44666</v>
      </c>
      <c r="AB1063" s="1" t="inlineStr">
        <is>
          <t>Детская литература</t>
        </is>
      </c>
      <c r="AC1063" s="1" t="inlineStr">
        <is>
          <t>Художественная литература</t>
        </is>
      </c>
      <c r="AD1063" s="1" t="inlineStr">
        <is>
          <t>Литературная сказка</t>
        </is>
      </c>
      <c r="AE1063" s="1" t="inlineStr">
        <is>
          <t>мелованная</t>
        </is>
      </c>
      <c r="AG1063" s="1" t="n">
        <v>10292700</v>
      </c>
      <c r="AI1063" s="1" t="inlineStr">
        <is>
          <t>4901990000</t>
        </is>
      </c>
    </row>
    <row r="1064" customFormat="1" s="1">
      <c r="C1064" s="1" t="inlineStr">
        <is>
          <t xml:space="preserve">10292370            </t>
        </is>
      </c>
      <c r="D1064" s="1" t="inlineStr">
        <is>
          <t>Счастливый поросёнок</t>
        </is>
      </c>
      <c r="E1064" s="1" t="inlineStr">
        <is>
          <t>Джоуи и его подарок на День мамы. Хунбо Г.</t>
        </is>
      </c>
      <c r="F1064" s="13" t="inlineStr">
        <is>
          <t>См.обл.</t>
        </is>
      </c>
      <c r="G1064" s="1" t="inlineStr">
        <is>
          <t>Хунбо Г.</t>
        </is>
      </c>
      <c r="H1064" s="1" t="inlineStr">
        <is>
          <t>60х90/8</t>
        </is>
      </c>
      <c r="I1064" s="1" t="n">
        <v>32</v>
      </c>
      <c r="J1064" s="1" t="inlineStr">
        <is>
          <t>РИПОЛ Классик</t>
        </is>
      </c>
      <c r="M1064" s="1" t="inlineStr">
        <is>
          <t>2022</t>
        </is>
      </c>
      <c r="N1064" s="1" t="inlineStr">
        <is>
          <t>П</t>
        </is>
      </c>
      <c r="O1064" s="9" t="n">
        <v>10</v>
      </c>
      <c r="P1064" s="1">
        <f>ROUNDUP(920*(1-$F$3),2)</f>
        <v/>
      </c>
      <c r="Q1064" s="1" t="inlineStr">
        <is>
          <t> </t>
        </is>
      </c>
      <c r="R1064" s="1" t="inlineStr">
        <is>
          <t>978-5-386-14681-8</t>
        </is>
      </c>
      <c r="S1064" s="1" t="inlineStr">
        <is>
          <t>9785386146818</t>
        </is>
      </c>
      <c r="T1064" s="9" t="n">
        <v>10</v>
      </c>
      <c r="U1064" s="1">
        <f>ROUNDUP(836.36*(1-$F$3),2)</f>
        <v/>
      </c>
      <c r="V1064" s="1" t="n">
        <v>382</v>
      </c>
      <c r="Y1064" s="1" t="inlineStr">
        <is>
          <t>Джоуи и его подарок на День мамы</t>
        </is>
      </c>
      <c r="Z1064" s="1" t="inlineStr">
        <is>
          <t>0 +</t>
        </is>
      </c>
      <c r="AA1064" s="12" t="n">
        <v>44666</v>
      </c>
      <c r="AB1064" s="1" t="inlineStr">
        <is>
          <t>Детская литература</t>
        </is>
      </c>
      <c r="AC1064" s="1" t="inlineStr">
        <is>
          <t>Художественная литература</t>
        </is>
      </c>
      <c r="AD1064" s="1" t="inlineStr">
        <is>
          <t>Литературная сказка</t>
        </is>
      </c>
      <c r="AE1064" s="1" t="inlineStr">
        <is>
          <t>мелованная</t>
        </is>
      </c>
      <c r="AG1064" s="1" t="n">
        <v>10292370</v>
      </c>
      <c r="AI1064" s="1" t="inlineStr">
        <is>
          <t>4901990000</t>
        </is>
      </c>
    </row>
    <row r="1065" customFormat="1" s="1">
      <c r="C1065" s="1" t="inlineStr">
        <is>
          <t xml:space="preserve">10372920            </t>
        </is>
      </c>
      <c r="D1065" s="1" t="inlineStr">
        <is>
          <t>Счастливый поросёнок</t>
        </is>
      </c>
      <c r="E1065" s="1" t="inlineStr">
        <is>
          <t>Джоуи и Кларенс - фейри одуванчиков. Хунбо Г.</t>
        </is>
      </c>
      <c r="F1065" s="13" t="inlineStr">
        <is>
          <t>См.обл.</t>
        </is>
      </c>
      <c r="G1065" s="1" t="inlineStr">
        <is>
          <t>Хунбо Г.</t>
        </is>
      </c>
      <c r="H1065" s="1" t="inlineStr">
        <is>
          <t>60х90/8</t>
        </is>
      </c>
      <c r="I1065" s="1" t="n">
        <v>32</v>
      </c>
      <c r="J1065" s="1" t="inlineStr">
        <is>
          <t>РИПОЛ Классик</t>
        </is>
      </c>
      <c r="M1065" s="1" t="inlineStr">
        <is>
          <t>2022</t>
        </is>
      </c>
      <c r="N1065" s="1" t="inlineStr">
        <is>
          <t>П</t>
        </is>
      </c>
      <c r="O1065" s="9" t="n">
        <v>10</v>
      </c>
      <c r="P1065" s="1">
        <f>ROUNDUP(920*(1-$F$3),2)</f>
        <v/>
      </c>
      <c r="Q1065" s="1" t="inlineStr">
        <is>
          <t> </t>
        </is>
      </c>
      <c r="R1065" s="1" t="inlineStr">
        <is>
          <t>978-5-386-14693-1</t>
        </is>
      </c>
      <c r="S1065" s="1" t="inlineStr">
        <is>
          <t>9785386146931</t>
        </is>
      </c>
      <c r="T1065" s="9" t="n">
        <v>10</v>
      </c>
      <c r="U1065" s="1">
        <f>ROUNDUP(836.36*(1-$F$3),2)</f>
        <v/>
      </c>
      <c r="V1065" s="1" t="n">
        <v>261</v>
      </c>
      <c r="Y1065" s="1" t="inlineStr">
        <is>
          <t>Джоуи и Кларенс - фейри одуванчиков</t>
        </is>
      </c>
      <c r="Z1065" s="1" t="inlineStr">
        <is>
          <t>0 +</t>
        </is>
      </c>
      <c r="AA1065" s="12" t="n">
        <v>44680</v>
      </c>
      <c r="AB1065" s="1" t="inlineStr">
        <is>
          <t>Детская литература</t>
        </is>
      </c>
      <c r="AC1065" s="1" t="inlineStr">
        <is>
          <t>Художественная литература</t>
        </is>
      </c>
      <c r="AD1065" s="1" t="inlineStr">
        <is>
          <t>Литературная сказка</t>
        </is>
      </c>
      <c r="AE1065" s="1" t="inlineStr">
        <is>
          <t>мелованная</t>
        </is>
      </c>
      <c r="AG1065" s="1" t="n">
        <v>10372920</v>
      </c>
      <c r="AI1065" s="1" t="inlineStr">
        <is>
          <t>4901990000</t>
        </is>
      </c>
    </row>
    <row r="1066" customFormat="1" s="1">
      <c r="C1066" s="1" t="inlineStr">
        <is>
          <t xml:space="preserve">10099090            </t>
        </is>
      </c>
      <c r="D1066" s="1" t="inlineStr">
        <is>
          <t>Счастливый поросёнок</t>
        </is>
      </c>
      <c r="E1066" s="1" t="inlineStr">
        <is>
          <t>Джоуи и молочный зуб. Хунбо Г.</t>
        </is>
      </c>
      <c r="F1066" s="13" t="inlineStr">
        <is>
          <t>См.обл.</t>
        </is>
      </c>
      <c r="G1066" s="1" t="inlineStr">
        <is>
          <t>Хунбо Г.</t>
        </is>
      </c>
      <c r="H1066" s="1" t="inlineStr">
        <is>
          <t>60х90/8</t>
        </is>
      </c>
      <c r="I1066" s="1" t="n">
        <v>32</v>
      </c>
      <c r="J1066" s="1" t="inlineStr">
        <is>
          <t>РИПОЛ Классик</t>
        </is>
      </c>
      <c r="M1066" s="1" t="inlineStr">
        <is>
          <t>2022</t>
        </is>
      </c>
      <c r="N1066" s="1" t="inlineStr">
        <is>
          <t>П</t>
        </is>
      </c>
      <c r="O1066" s="9" t="n">
        <v>20</v>
      </c>
      <c r="P1066" s="1">
        <f>ROUNDUP(1100*(1-$F$3),2)</f>
        <v/>
      </c>
      <c r="Q1066" s="1" t="inlineStr">
        <is>
          <t> </t>
        </is>
      </c>
      <c r="R1066" s="1" t="inlineStr">
        <is>
          <t>978-5-386-14409-8</t>
        </is>
      </c>
      <c r="S1066" s="1" t="inlineStr">
        <is>
          <t>9785386144098</t>
        </is>
      </c>
      <c r="T1066" s="9" t="n">
        <v>10</v>
      </c>
      <c r="U1066" s="1">
        <f>ROUNDUP(1000*(1-$F$3),2)</f>
        <v/>
      </c>
      <c r="V1066" s="1" t="n">
        <v>391</v>
      </c>
      <c r="Y1066" s="1" t="inlineStr">
        <is>
          <t>Джоуи и молочный зуб</t>
        </is>
      </c>
      <c r="Z1066" s="1" t="inlineStr">
        <is>
          <t>0 +</t>
        </is>
      </c>
      <c r="AA1066" s="12" t="n">
        <v>44531</v>
      </c>
      <c r="AB1066" s="1" t="inlineStr">
        <is>
          <t>Детская литература</t>
        </is>
      </c>
      <c r="AC1066" s="1" t="inlineStr">
        <is>
          <t>Художественная литература</t>
        </is>
      </c>
      <c r="AD1066" s="1" t="inlineStr">
        <is>
          <t>Литературная сказка</t>
        </is>
      </c>
      <c r="AE1066" s="1" t="inlineStr">
        <is>
          <t>мелованная</t>
        </is>
      </c>
      <c r="AG1066" s="1" t="n">
        <v>10099090</v>
      </c>
      <c r="AI1066" s="1" t="inlineStr">
        <is>
          <t>4901990000</t>
        </is>
      </c>
    </row>
    <row r="1067" customFormat="1" s="1">
      <c r="C1067" s="1" t="inlineStr">
        <is>
          <t xml:space="preserve">10403250            </t>
        </is>
      </c>
      <c r="D1067" s="1" t="inlineStr">
        <is>
          <t>Счастливый поросёнок</t>
        </is>
      </c>
      <c r="E1067" s="1" t="inlineStr">
        <is>
          <t>Джоуи и опухшая щека. Хунбо Г.</t>
        </is>
      </c>
      <c r="F1067" s="13" t="inlineStr">
        <is>
          <t>См.обл.</t>
        </is>
      </c>
      <c r="G1067" s="1" t="inlineStr">
        <is>
          <t>Хунбо Г.</t>
        </is>
      </c>
      <c r="H1067" s="1" t="inlineStr">
        <is>
          <t>60х90/8</t>
        </is>
      </c>
      <c r="I1067" s="1" t="n">
        <v>32</v>
      </c>
      <c r="J1067" s="1" t="inlineStr">
        <is>
          <t>РИПОЛ Классик</t>
        </is>
      </c>
      <c r="M1067" s="1" t="inlineStr">
        <is>
          <t>2022</t>
        </is>
      </c>
      <c r="N1067" s="1" t="inlineStr">
        <is>
          <t>П</t>
        </is>
      </c>
      <c r="O1067" s="9" t="n">
        <v>10</v>
      </c>
      <c r="P1067" s="1">
        <f>ROUNDUP(950*(1-$F$3),2)</f>
        <v/>
      </c>
      <c r="Q1067" s="1" t="inlineStr">
        <is>
          <t> </t>
        </is>
      </c>
      <c r="R1067" s="1" t="inlineStr">
        <is>
          <t>978-5-386-14738-9</t>
        </is>
      </c>
      <c r="S1067" s="1" t="inlineStr">
        <is>
          <t>9785386147389</t>
        </is>
      </c>
      <c r="T1067" s="9" t="n">
        <v>10</v>
      </c>
      <c r="U1067" s="1">
        <f>ROUNDUP(863.64*(1-$F$3),2)</f>
        <v/>
      </c>
      <c r="V1067" s="1" t="n">
        <v>384</v>
      </c>
      <c r="Y1067" s="1" t="inlineStr">
        <is>
          <t>Джоуи и опухшая щека</t>
        </is>
      </c>
      <c r="Z1067" s="1" t="inlineStr">
        <is>
          <t>0 +</t>
        </is>
      </c>
      <c r="AA1067" s="12" t="n">
        <v>44711</v>
      </c>
      <c r="AB1067" s="1" t="inlineStr">
        <is>
          <t>Детская литература</t>
        </is>
      </c>
      <c r="AC1067" s="1" t="inlineStr">
        <is>
          <t>Художественная литература</t>
        </is>
      </c>
      <c r="AD1067" s="1" t="inlineStr">
        <is>
          <t>Литературная сказка</t>
        </is>
      </c>
      <c r="AE1067" s="1" t="inlineStr">
        <is>
          <t>мелованная</t>
        </is>
      </c>
      <c r="AG1067" s="1" t="n">
        <v>10403250</v>
      </c>
      <c r="AI1067" s="1" t="inlineStr">
        <is>
          <t>4901990000</t>
        </is>
      </c>
    </row>
    <row r="1068" customFormat="1" s="1">
      <c r="C1068" s="1" t="inlineStr">
        <is>
          <t xml:space="preserve">10096280            </t>
        </is>
      </c>
      <c r="D1068" s="1" t="inlineStr">
        <is>
          <t>Счастливый поросёнок</t>
        </is>
      </c>
      <c r="E1068" s="1" t="inlineStr">
        <is>
          <t>Джоуи и первый снег. Хунбо Г.</t>
        </is>
      </c>
      <c r="F1068" s="13" t="inlineStr">
        <is>
          <t>См.обл.</t>
        </is>
      </c>
      <c r="G1068" s="1" t="inlineStr">
        <is>
          <t>Хунбо Г.</t>
        </is>
      </c>
      <c r="H1068" s="1" t="inlineStr">
        <is>
          <t>60х90/8</t>
        </is>
      </c>
      <c r="I1068" s="1" t="n">
        <v>32</v>
      </c>
      <c r="J1068" s="1" t="inlineStr">
        <is>
          <t>РИПОЛ Классик</t>
        </is>
      </c>
      <c r="M1068" s="1" t="inlineStr">
        <is>
          <t>2022</t>
        </is>
      </c>
      <c r="N1068" s="1" t="inlineStr">
        <is>
          <t>П</t>
        </is>
      </c>
      <c r="O1068" s="9" t="n">
        <v>20</v>
      </c>
      <c r="P1068" s="1">
        <f>ROUNDUP(800*(1-$F$3),2)</f>
        <v/>
      </c>
      <c r="Q1068" s="1" t="inlineStr">
        <is>
          <t> </t>
        </is>
      </c>
      <c r="R1068" s="1" t="inlineStr">
        <is>
          <t>978-5-386-14408-1</t>
        </is>
      </c>
      <c r="S1068" s="1" t="inlineStr">
        <is>
          <t>9785386144081</t>
        </is>
      </c>
      <c r="T1068" s="9" t="n">
        <v>10</v>
      </c>
      <c r="U1068" s="1">
        <f>ROUNDUP(727.27*(1-$F$3),2)</f>
        <v/>
      </c>
      <c r="V1068" s="1" t="n">
        <v>386</v>
      </c>
      <c r="Y1068" s="1" t="inlineStr">
        <is>
          <t>Джоуи и первый снег</t>
        </is>
      </c>
      <c r="Z1068" s="1" t="inlineStr">
        <is>
          <t>0 +</t>
        </is>
      </c>
      <c r="AA1068" s="12" t="n">
        <v>44531</v>
      </c>
      <c r="AB1068" s="1" t="inlineStr">
        <is>
          <t>Детская литература</t>
        </is>
      </c>
      <c r="AC1068" s="1" t="inlineStr">
        <is>
          <t>Художественная литература</t>
        </is>
      </c>
      <c r="AD1068" s="1" t="inlineStr">
        <is>
          <t>Литературная сказка</t>
        </is>
      </c>
      <c r="AE1068" s="1" t="inlineStr">
        <is>
          <t>мелованная</t>
        </is>
      </c>
      <c r="AG1068" s="1" t="n">
        <v>10096280</v>
      </c>
      <c r="AI1068" s="1" t="inlineStr">
        <is>
          <t>4901990000</t>
        </is>
      </c>
    </row>
    <row r="1069" customFormat="1" s="1">
      <c r="C1069" s="1" t="inlineStr">
        <is>
          <t xml:space="preserve">10096290            </t>
        </is>
      </c>
      <c r="D1069" s="1" t="inlineStr">
        <is>
          <t>Счастливый поросёнок</t>
        </is>
      </c>
      <c r="E1069" s="1" t="inlineStr">
        <is>
          <t>Джоуи и поросячий стиль. Хунбо Г.</t>
        </is>
      </c>
      <c r="F1069" s="13" t="inlineStr">
        <is>
          <t>См.обл.</t>
        </is>
      </c>
      <c r="G1069" s="1" t="inlineStr">
        <is>
          <t>Хунбо Г.</t>
        </is>
      </c>
      <c r="H1069" s="1" t="inlineStr">
        <is>
          <t>60х90/8</t>
        </is>
      </c>
      <c r="I1069" s="1" t="n">
        <v>32</v>
      </c>
      <c r="J1069" s="1" t="inlineStr">
        <is>
          <t>РИПОЛ Классик</t>
        </is>
      </c>
      <c r="M1069" s="1" t="inlineStr">
        <is>
          <t>2022</t>
        </is>
      </c>
      <c r="N1069" s="1" t="inlineStr">
        <is>
          <t>П</t>
        </is>
      </c>
      <c r="O1069" s="9" t="n">
        <v>20</v>
      </c>
      <c r="P1069" s="1">
        <f>ROUNDUP(800*(1-$F$3),2)</f>
        <v/>
      </c>
      <c r="Q1069" s="1" t="inlineStr">
        <is>
          <t> </t>
        </is>
      </c>
      <c r="R1069" s="1" t="inlineStr">
        <is>
          <t>978-5-386-14561-3</t>
        </is>
      </c>
      <c r="S1069" s="1" t="inlineStr">
        <is>
          <t>9785386145613</t>
        </is>
      </c>
      <c r="T1069" s="9" t="n">
        <v>10</v>
      </c>
      <c r="U1069" s="1">
        <f>ROUNDUP(727.27*(1-$F$3),2)</f>
        <v/>
      </c>
      <c r="V1069" s="1" t="n">
        <v>393</v>
      </c>
      <c r="Y1069" s="1" t="inlineStr">
        <is>
          <t>Джоуи и поросячий стиль</t>
        </is>
      </c>
      <c r="Z1069" s="1" t="inlineStr">
        <is>
          <t>0 +</t>
        </is>
      </c>
      <c r="AA1069" s="12" t="n">
        <v>44531</v>
      </c>
      <c r="AB1069" s="1" t="inlineStr">
        <is>
          <t>Детская литература</t>
        </is>
      </c>
      <c r="AC1069" s="1" t="inlineStr">
        <is>
          <t>Художественная литература</t>
        </is>
      </c>
      <c r="AD1069" s="1" t="inlineStr">
        <is>
          <t>Литературная сказка</t>
        </is>
      </c>
      <c r="AE1069" s="1" t="inlineStr">
        <is>
          <t>мелованная</t>
        </is>
      </c>
      <c r="AG1069" s="1" t="n">
        <v>10096290</v>
      </c>
      <c r="AI1069" s="1" t="inlineStr">
        <is>
          <t>4901990000</t>
        </is>
      </c>
    </row>
    <row r="1070" customFormat="1" s="1">
      <c r="C1070" s="1" t="inlineStr">
        <is>
          <t xml:space="preserve">10238910            </t>
        </is>
      </c>
      <c r="D1070" s="1" t="inlineStr">
        <is>
          <t>Счастливый поросёнок</t>
        </is>
      </c>
      <c r="E1070" s="1" t="inlineStr">
        <is>
          <t>Джоуи и три ноги. Хунбо Г.</t>
        </is>
      </c>
      <c r="F1070" s="13" t="inlineStr">
        <is>
          <t>См.обл.</t>
        </is>
      </c>
      <c r="G1070" s="1" t="inlineStr">
        <is>
          <t>Хунбо Г.</t>
        </is>
      </c>
      <c r="H1070" s="1" t="inlineStr">
        <is>
          <t>60х90/8</t>
        </is>
      </c>
      <c r="I1070" s="1" t="n">
        <v>32</v>
      </c>
      <c r="J1070" s="1" t="inlineStr">
        <is>
          <t>РИПОЛ Классик</t>
        </is>
      </c>
      <c r="K1070" s="1" t="inlineStr">
        <is>
          <t>RUGRAM_РИПОЛ Классик</t>
        </is>
      </c>
      <c r="M1070" s="1" t="inlineStr">
        <is>
          <t>2022</t>
        </is>
      </c>
      <c r="N1070" s="1" t="inlineStr">
        <is>
          <t>П</t>
        </is>
      </c>
      <c r="O1070" s="9" t="n">
        <v>10</v>
      </c>
      <c r="P1070" s="1">
        <f>ROUNDUP(920*(1-$F$3),2)</f>
        <v/>
      </c>
      <c r="Q1070" s="1" t="inlineStr">
        <is>
          <t> </t>
        </is>
      </c>
      <c r="R1070" s="1" t="inlineStr">
        <is>
          <t>978-5-386-14652-8</t>
        </is>
      </c>
      <c r="S1070" s="1" t="inlineStr">
        <is>
          <t>9785386146528</t>
        </is>
      </c>
      <c r="T1070" s="9" t="n">
        <v>10</v>
      </c>
      <c r="U1070" s="1">
        <f>ROUNDUP(836.36*(1-$F$3),2)</f>
        <v/>
      </c>
      <c r="V1070" s="1" t="n">
        <v>384</v>
      </c>
      <c r="Y1070" s="1" t="inlineStr">
        <is>
          <t>Джоуи и три ноги</t>
        </is>
      </c>
      <c r="Z1070" s="1" t="inlineStr">
        <is>
          <t>0 +</t>
        </is>
      </c>
      <c r="AA1070" s="12" t="n">
        <v>44623</v>
      </c>
      <c r="AB1070" s="1" t="inlineStr">
        <is>
          <t>Детская литература</t>
        </is>
      </c>
      <c r="AC1070" s="1" t="inlineStr">
        <is>
          <t>Художественная литература</t>
        </is>
      </c>
      <c r="AD1070" s="1" t="inlineStr">
        <is>
          <t>Литературная сказка</t>
        </is>
      </c>
      <c r="AE1070" s="1" t="inlineStr">
        <is>
          <t>мелованная</t>
        </is>
      </c>
      <c r="AG1070" s="1" t="n">
        <v>10238910</v>
      </c>
      <c r="AI1070" s="1" t="inlineStr">
        <is>
          <t>4901990000</t>
        </is>
      </c>
    </row>
    <row r="1071" customFormat="1" s="1">
      <c r="C1071" s="1" t="inlineStr">
        <is>
          <t xml:space="preserve">10238920            </t>
        </is>
      </c>
      <c r="D1071" s="1" t="inlineStr">
        <is>
          <t>Счастливый поросёнок</t>
        </is>
      </c>
      <c r="E1071" s="1" t="inlineStr">
        <is>
          <t>Джоуи и хурма. Хунбо Г.</t>
        </is>
      </c>
      <c r="F1071" s="13" t="inlineStr">
        <is>
          <t>См.обл.</t>
        </is>
      </c>
      <c r="G1071" s="1" t="inlineStr">
        <is>
          <t>Хунбо Г.</t>
        </is>
      </c>
      <c r="H1071" s="1" t="inlineStr">
        <is>
          <t>60х90/8</t>
        </is>
      </c>
      <c r="I1071" s="1" t="n">
        <v>32</v>
      </c>
      <c r="J1071" s="1" t="inlineStr">
        <is>
          <t>РИПОЛ Классик</t>
        </is>
      </c>
      <c r="K1071" s="1" t="inlineStr">
        <is>
          <t>RUGRAM_РИПОЛ Классик</t>
        </is>
      </c>
      <c r="M1071" s="1" t="inlineStr">
        <is>
          <t>2022</t>
        </is>
      </c>
      <c r="N1071" s="1" t="inlineStr">
        <is>
          <t>П</t>
        </is>
      </c>
      <c r="O1071" s="9" t="n">
        <v>10</v>
      </c>
      <c r="P1071" s="1">
        <f>ROUNDUP(920*(1-$F$3),2)</f>
        <v/>
      </c>
      <c r="Q1071" s="1" t="inlineStr">
        <is>
          <t> </t>
        </is>
      </c>
      <c r="R1071" s="1" t="inlineStr">
        <is>
          <t>978-5-386-14651-1</t>
        </is>
      </c>
      <c r="S1071" s="1" t="inlineStr">
        <is>
          <t>9785386146511</t>
        </is>
      </c>
      <c r="T1071" s="9" t="n">
        <v>10</v>
      </c>
      <c r="U1071" s="1">
        <f>ROUNDUP(836.36*(1-$F$3),2)</f>
        <v/>
      </c>
      <c r="V1071" s="1" t="n">
        <v>389</v>
      </c>
      <c r="Y1071" s="1" t="inlineStr">
        <is>
          <t>Джоуи и хурма</t>
        </is>
      </c>
      <c r="Z1071" s="1" t="inlineStr">
        <is>
          <t>0 +</t>
        </is>
      </c>
      <c r="AA1071" s="12" t="n">
        <v>44623</v>
      </c>
      <c r="AB1071" s="1" t="inlineStr">
        <is>
          <t>Детская литература</t>
        </is>
      </c>
      <c r="AC1071" s="1" t="inlineStr">
        <is>
          <t>Художественная литература</t>
        </is>
      </c>
      <c r="AD1071" s="1" t="inlineStr">
        <is>
          <t>Литературная сказка</t>
        </is>
      </c>
      <c r="AE1071" s="1" t="inlineStr">
        <is>
          <t>мелованная</t>
        </is>
      </c>
      <c r="AG1071" s="1" t="n">
        <v>10238920</v>
      </c>
      <c r="AI1071" s="1" t="inlineStr">
        <is>
          <t>4901990000</t>
        </is>
      </c>
    </row>
    <row r="1072" customFormat="1" s="1">
      <c r="C1072" s="1" t="inlineStr">
        <is>
          <t xml:space="preserve">10406750            </t>
        </is>
      </c>
      <c r="D1072" s="1" t="inlineStr">
        <is>
          <t>Счастливый поросёнок</t>
        </is>
      </c>
      <c r="E1072" s="1" t="inlineStr">
        <is>
          <t>Джоуи решает похудеть. Хунбо Г.</t>
        </is>
      </c>
      <c r="F1072" s="13" t="inlineStr">
        <is>
          <t>См.обл.</t>
        </is>
      </c>
      <c r="G1072" s="1" t="inlineStr">
        <is>
          <t>Хунбо Г.</t>
        </is>
      </c>
      <c r="H1072" s="1" t="inlineStr">
        <is>
          <t>60х90/8</t>
        </is>
      </c>
      <c r="I1072" s="1" t="n">
        <v>32</v>
      </c>
      <c r="J1072" s="1" t="inlineStr">
        <is>
          <t>РИПОЛ Классик</t>
        </is>
      </c>
      <c r="M1072" s="1" t="inlineStr">
        <is>
          <t>2022</t>
        </is>
      </c>
      <c r="N1072" s="1" t="inlineStr">
        <is>
          <t>П</t>
        </is>
      </c>
      <c r="O1072" s="9" t="n">
        <v>10</v>
      </c>
      <c r="P1072" s="1">
        <f>ROUNDUP(950*(1-$F$3),2)</f>
        <v/>
      </c>
      <c r="Q1072" s="1" t="inlineStr">
        <is>
          <t> </t>
        </is>
      </c>
      <c r="R1072" s="1" t="inlineStr">
        <is>
          <t>978-5-386-14739-6</t>
        </is>
      </c>
      <c r="S1072" s="1" t="inlineStr">
        <is>
          <t>9785386147396</t>
        </is>
      </c>
      <c r="T1072" s="9" t="n">
        <v>10</v>
      </c>
      <c r="U1072" s="1">
        <f>ROUNDUP(863.64*(1-$F$3),2)</f>
        <v/>
      </c>
      <c r="V1072" s="1" t="n">
        <v>387</v>
      </c>
      <c r="Y1072" s="1" t="inlineStr">
        <is>
          <t>Джоуи решает похудеть</t>
        </is>
      </c>
      <c r="Z1072" s="1" t="inlineStr">
        <is>
          <t>0 +</t>
        </is>
      </c>
      <c r="AA1072" s="12" t="n">
        <v>44711</v>
      </c>
      <c r="AB1072" s="1" t="inlineStr">
        <is>
          <t>Детская литература</t>
        </is>
      </c>
      <c r="AC1072" s="1" t="inlineStr">
        <is>
          <t>Художественная литература</t>
        </is>
      </c>
      <c r="AD1072" s="1" t="inlineStr">
        <is>
          <t>Литературная сказка</t>
        </is>
      </c>
      <c r="AE1072" s="1" t="inlineStr">
        <is>
          <t>мелованная</t>
        </is>
      </c>
      <c r="AG1072" s="1" t="n">
        <v>10406750</v>
      </c>
      <c r="AI1072" s="1" t="inlineStr">
        <is>
          <t>4901990000</t>
        </is>
      </c>
    </row>
    <row r="1073" customFormat="1" s="1">
      <c r="C1073" s="1" t="inlineStr">
        <is>
          <t xml:space="preserve">8433030             </t>
        </is>
      </c>
      <c r="D1073" s="1" t="inlineStr">
        <is>
          <t>Тайные знания</t>
        </is>
      </c>
      <c r="E1073" s="1" t="inlineStr">
        <is>
          <t>Все гороскопы мира. Полная энциклопедия. Кульков Д.Е.</t>
        </is>
      </c>
      <c r="F1073" s="13" t="inlineStr">
        <is>
          <t>См.обл.</t>
        </is>
      </c>
      <c r="G1073" s="1" t="inlineStr">
        <is>
          <t>Кульков Д.Е.</t>
        </is>
      </c>
      <c r="H1073" s="1" t="inlineStr">
        <is>
          <t>60х90/16</t>
        </is>
      </c>
      <c r="I1073" s="1" t="n">
        <v>544</v>
      </c>
      <c r="J1073" s="1" t="inlineStr">
        <is>
          <t>РИПОЛ Классик</t>
        </is>
      </c>
      <c r="M1073" s="1" t="inlineStr">
        <is>
          <t>2019</t>
        </is>
      </c>
      <c r="N1073" s="1" t="inlineStr">
        <is>
          <t>П</t>
        </is>
      </c>
      <c r="O1073" s="9" t="n">
        <v>8</v>
      </c>
      <c r="P1073" s="1">
        <f>ROUNDUP(605*(1-$F$3),2)</f>
        <v/>
      </c>
      <c r="Q1073" s="1" t="inlineStr">
        <is>
          <t> </t>
        </is>
      </c>
      <c r="R1073" s="1" t="inlineStr">
        <is>
          <t>978-5-386-10426-9</t>
        </is>
      </c>
      <c r="S1073" s="1" t="inlineStr">
        <is>
          <t>9785386104269</t>
        </is>
      </c>
      <c r="T1073" s="9" t="n">
        <v>22</v>
      </c>
      <c r="U1073" s="1">
        <f>ROUNDUP(495.9*(1-$F$3),2)</f>
        <v/>
      </c>
      <c r="V1073" s="1" t="n">
        <v>463</v>
      </c>
      <c r="Y1073" s="1" t="inlineStr">
        <is>
          <t>Все гороскопы мира. Полная энциклопедия</t>
        </is>
      </c>
      <c r="Z1073" s="1" t="inlineStr">
        <is>
          <t>16+</t>
        </is>
      </c>
      <c r="AA1073" s="12" t="n">
        <v>43094</v>
      </c>
      <c r="AB1073" s="1" t="inlineStr">
        <is>
          <t>Религии. Эзотерика. Оккультизм</t>
        </is>
      </c>
      <c r="AC1073" s="1" t="inlineStr">
        <is>
          <t>Эзотерика. Парапсихология. Тайны</t>
        </is>
      </c>
      <c r="AD1073" s="1" t="inlineStr">
        <is>
          <t>Астрология. Нумерология</t>
        </is>
      </c>
      <c r="AE1073" s="1" t="inlineStr">
        <is>
          <t>газетная</t>
        </is>
      </c>
      <c r="AG1073" s="1" t="n">
        <v>8433030</v>
      </c>
      <c r="AI1073" s="1" t="inlineStr">
        <is>
          <t>4901910000</t>
        </is>
      </c>
    </row>
    <row r="1074" customFormat="1" s="1">
      <c r="C1074" s="1" t="inlineStr">
        <is>
          <t xml:space="preserve">8161430             </t>
        </is>
      </c>
      <c r="D1074" s="1" t="inlineStr">
        <is>
          <t>Тайные знания</t>
        </is>
      </c>
      <c r="E1074" s="1" t="inlineStr">
        <is>
          <t>Даты и судьбы. Большая книга нумерологии. От нумерологии - к цифровому анализу (пер.). Александров А.Ф.</t>
        </is>
      </c>
      <c r="F1074" s="13" t="inlineStr">
        <is>
          <t>См.обл.</t>
        </is>
      </c>
      <c r="G1074" s="1" t="inlineStr">
        <is>
          <t>Александров А.Ф.</t>
        </is>
      </c>
      <c r="H1074" s="1" t="inlineStr">
        <is>
          <t>84х108/32</t>
        </is>
      </c>
      <c r="I1074" s="1" t="n">
        <v>480</v>
      </c>
      <c r="J1074" s="1" t="inlineStr">
        <is>
          <t>РИПОЛ Классик</t>
        </is>
      </c>
      <c r="M1074" s="1" t="inlineStr">
        <is>
          <t>2025</t>
        </is>
      </c>
      <c r="N1074" s="1" t="inlineStr">
        <is>
          <t>П</t>
        </is>
      </c>
      <c r="O1074" s="9" t="n">
        <v>8</v>
      </c>
      <c r="P1074" s="1">
        <f>ROUNDUP(910*(1-$F$3),2)</f>
        <v/>
      </c>
      <c r="Q1074" s="1" t="inlineStr">
        <is>
          <t> </t>
        </is>
      </c>
      <c r="R1074" s="1" t="inlineStr">
        <is>
          <t>978-5-386-10005-6</t>
        </is>
      </c>
      <c r="S1074" s="1" t="inlineStr">
        <is>
          <t>9785386100056</t>
        </is>
      </c>
      <c r="T1074" s="9" t="n">
        <v>22</v>
      </c>
      <c r="U1074" s="1">
        <f>ROUNDUP(745.9*(1-$F$3),2)</f>
        <v/>
      </c>
      <c r="V1074" s="1" t="n">
        <v>356</v>
      </c>
      <c r="Y1074" s="1" t="inlineStr">
        <is>
          <t>Даты и судьбы. Большая книга нумерологии. От нумерологии - к цифровому анализу (пер.)</t>
        </is>
      </c>
      <c r="Z1074" s="1" t="inlineStr">
        <is>
          <t>16+</t>
        </is>
      </c>
      <c r="AA1074" s="12" t="n">
        <v>42871</v>
      </c>
      <c r="AB1074" s="1" t="inlineStr">
        <is>
          <t>Религии. Эзотерика. Оккультизм</t>
        </is>
      </c>
      <c r="AC1074" s="1" t="inlineStr">
        <is>
          <t>Эзотерика. Парапсихология. Тайны</t>
        </is>
      </c>
      <c r="AD1074" s="1" t="inlineStr">
        <is>
          <t>Астрология. Нумерология</t>
        </is>
      </c>
      <c r="AE1074" s="1" t="inlineStr">
        <is>
          <t>офсетная</t>
        </is>
      </c>
      <c r="AG1074" s="1" t="n">
        <v>8161430</v>
      </c>
      <c r="AI1074" s="1" t="inlineStr">
        <is>
          <t>4901990000</t>
        </is>
      </c>
    </row>
    <row r="1075" customFormat="1" s="1">
      <c r="C1075" s="1" t="inlineStr">
        <is>
          <t xml:space="preserve">8474930             </t>
        </is>
      </c>
      <c r="D1075" s="1" t="inlineStr">
        <is>
          <t>Там, где сердце</t>
        </is>
      </c>
      <c r="E1075" s="1" t="inlineStr">
        <is>
          <t>Сердцееды: роман. Новак Э</t>
        </is>
      </c>
      <c r="F1075" s="13" t="inlineStr">
        <is>
          <t>См.обл.</t>
        </is>
      </c>
      <c r="G1075" s="1" t="inlineStr">
        <is>
          <t>Новак Э</t>
        </is>
      </c>
      <c r="H1075" s="1" t="inlineStr">
        <is>
          <t>60х90/16</t>
        </is>
      </c>
      <c r="I1075" s="1" t="n">
        <v>336</v>
      </c>
      <c r="J1075" s="1" t="inlineStr">
        <is>
          <t>РИПОЛ Классик</t>
        </is>
      </c>
      <c r="M1075" s="1" t="inlineStr">
        <is>
          <t>2018</t>
        </is>
      </c>
      <c r="N1075" s="1" t="inlineStr">
        <is>
          <t>П</t>
        </is>
      </c>
      <c r="O1075" s="9" t="n">
        <v>10</v>
      </c>
      <c r="P1075" s="1">
        <f>ROUNDUP(950*(1-$F$3),2)</f>
        <v/>
      </c>
      <c r="Q1075" s="1" t="inlineStr">
        <is>
          <t> </t>
        </is>
      </c>
      <c r="R1075" s="1" t="inlineStr">
        <is>
          <t>978-5-386-10489-4</t>
        </is>
      </c>
      <c r="S1075" s="1" t="inlineStr">
        <is>
          <t>9785386104894</t>
        </is>
      </c>
      <c r="T1075" s="9" t="n">
        <v>10</v>
      </c>
      <c r="U1075" s="1">
        <f>ROUNDUP(863.64*(1-$F$3),2)</f>
        <v/>
      </c>
      <c r="V1075" s="1" t="n">
        <v>429</v>
      </c>
      <c r="Y1075" s="1" t="inlineStr">
        <is>
          <t>Сердцееды: роман</t>
        </is>
      </c>
      <c r="Z1075" s="1" t="inlineStr">
        <is>
          <t>16+</t>
        </is>
      </c>
      <c r="AA1075" s="12" t="n">
        <v>43166</v>
      </c>
      <c r="AB1075" s="1" t="inlineStr">
        <is>
          <t>Художественная литература</t>
        </is>
      </c>
      <c r="AC1075" s="1" t="inlineStr">
        <is>
          <t>Зарубежная литература</t>
        </is>
      </c>
      <c r="AD1075" s="1" t="inlineStr">
        <is>
          <t>Литература Америки и Австралии</t>
        </is>
      </c>
      <c r="AE1075" s="1" t="inlineStr">
        <is>
          <t>офсетная</t>
        </is>
      </c>
      <c r="AG1075" s="1" t="n">
        <v>8474930</v>
      </c>
      <c r="AI1075" s="1" t="inlineStr">
        <is>
          <t>4901990000</t>
        </is>
      </c>
    </row>
    <row r="1076" customFormat="1" s="1">
      <c r="C1076" s="1" t="inlineStr">
        <is>
          <t xml:space="preserve">8852220             </t>
        </is>
      </c>
      <c r="D1076" s="1" t="inlineStr">
        <is>
          <t>Тату-серия</t>
        </is>
      </c>
      <c r="E1076" s="1" t="inlineStr">
        <is>
          <t>Последний альбом: роман. Хэнд Э.</t>
        </is>
      </c>
      <c r="F1076" s="13" t="inlineStr">
        <is>
          <t>См.обл.</t>
        </is>
      </c>
      <c r="G1076" s="1" t="inlineStr">
        <is>
          <t>Хэнд Э.</t>
        </is>
      </c>
      <c r="H1076" s="1" t="inlineStr">
        <is>
          <t>84х108/32</t>
        </is>
      </c>
      <c r="I1076" s="1" t="n">
        <v>222</v>
      </c>
      <c r="J1076" s="1" t="inlineStr">
        <is>
          <t>РИПОЛ Классик</t>
        </is>
      </c>
      <c r="K1076" s="1" t="inlineStr">
        <is>
          <t>Пальмира</t>
        </is>
      </c>
      <c r="M1076" s="1" t="inlineStr">
        <is>
          <t>2019</t>
        </is>
      </c>
      <c r="N1076" s="1" t="inlineStr">
        <is>
          <t>П</t>
        </is>
      </c>
      <c r="O1076" s="9" t="n">
        <v>24</v>
      </c>
      <c r="P1076" s="1">
        <f>ROUNDUP(711.7*(1-$F$3),2)</f>
        <v/>
      </c>
      <c r="Q1076" s="1" t="inlineStr">
        <is>
          <t> </t>
        </is>
      </c>
      <c r="R1076" s="1" t="inlineStr">
        <is>
          <t>978-5-386-10837-3</t>
        </is>
      </c>
      <c r="S1076" s="1" t="inlineStr">
        <is>
          <t>9785386108373</t>
        </is>
      </c>
      <c r="T1076" s="9" t="n">
        <v>10</v>
      </c>
      <c r="U1076" s="1">
        <f>ROUNDUP(647*(1-$F$3),2)</f>
        <v/>
      </c>
      <c r="V1076" s="1" t="n">
        <v>289</v>
      </c>
      <c r="Y1076" s="1" t="inlineStr">
        <is>
          <t>Последний альбом: роман</t>
        </is>
      </c>
      <c r="Z1076" s="1" t="inlineStr">
        <is>
          <t>16+</t>
        </is>
      </c>
      <c r="AA1076" s="12" t="n">
        <v>43429</v>
      </c>
      <c r="AB1076" s="1" t="inlineStr">
        <is>
          <t>Художественная литература</t>
        </is>
      </c>
      <c r="AC1076" s="1" t="inlineStr">
        <is>
          <t>Зарубежная литература</t>
        </is>
      </c>
      <c r="AD1076" s="1" t="inlineStr">
        <is>
          <t>Литература Америки и Австралии</t>
        </is>
      </c>
      <c r="AE1076" s="1" t="inlineStr">
        <is>
          <t>офсетная</t>
        </is>
      </c>
      <c r="AG1076" s="1" t="n">
        <v>8852220</v>
      </c>
      <c r="AI1076" s="1" t="inlineStr">
        <is>
          <t>4901990000</t>
        </is>
      </c>
    </row>
    <row r="1077" customFormat="1" s="11">
      <c r="A1077" s="11" t="inlineStr">
        <is>
          <t>нов</t>
        </is>
      </c>
      <c r="C1077" s="11" t="inlineStr">
        <is>
          <t xml:space="preserve">12257230            </t>
        </is>
      </c>
      <c r="D1077" s="11" t="inlineStr">
        <is>
          <t>Темная классика</t>
        </is>
      </c>
      <c r="E1077" s="11" t="inlineStr">
        <is>
          <t>Ветхие одежды. Блэквуд Э.</t>
        </is>
      </c>
      <c r="F1077" s="14" t="inlineStr">
        <is>
          <t>См.обл.</t>
        </is>
      </c>
      <c r="G1077" s="11" t="inlineStr">
        <is>
          <t>Блэквуд Э.</t>
        </is>
      </c>
      <c r="H1077" s="11" t="inlineStr">
        <is>
          <t>60х90/16</t>
        </is>
      </c>
      <c r="I1077" s="11" t="n">
        <v>384</v>
      </c>
      <c r="J1077" s="11" t="inlineStr">
        <is>
          <t>РИПОЛ Классик</t>
        </is>
      </c>
      <c r="M1077" s="11" t="inlineStr">
        <is>
          <t>2026</t>
        </is>
      </c>
      <c r="N1077" s="11" t="inlineStr">
        <is>
          <t>П</t>
        </is>
      </c>
      <c r="O1077" s="26" t="n">
        <v>8</v>
      </c>
      <c r="P1077" s="11">
        <f>ROUNDUP(990*(1-$F$3),2)</f>
        <v/>
      </c>
      <c r="Q1077" s="11" t="inlineStr">
        <is>
          <t> </t>
        </is>
      </c>
      <c r="R1077" s="11" t="inlineStr">
        <is>
          <t>978-5-386-15232-1</t>
        </is>
      </c>
      <c r="S1077" s="11" t="inlineStr">
        <is>
          <t>9785386152321</t>
        </is>
      </c>
      <c r="T1077" s="26" t="n">
        <v>22</v>
      </c>
      <c r="U1077" s="11">
        <f>ROUNDUP(811.48*(1-$F$3),2)</f>
        <v/>
      </c>
      <c r="V1077" s="11" t="n">
        <v>443</v>
      </c>
      <c r="Y1077" s="11" t="inlineStr">
        <is>
          <t>Ветхие одежды</t>
        </is>
      </c>
      <c r="Z1077" s="11" t="inlineStr">
        <is>
          <t>18+</t>
        </is>
      </c>
      <c r="AA1077" s="15" t="n">
        <v>46268</v>
      </c>
      <c r="AB1077" s="11" t="inlineStr">
        <is>
          <t>Художественная литература</t>
        </is>
      </c>
      <c r="AC1077" s="11" t="inlineStr">
        <is>
          <t>Фантастика. Мистика. Ужасы</t>
        </is>
      </c>
      <c r="AD1077" s="11" t="inlineStr">
        <is>
          <t>Мистика. Ужасы</t>
        </is>
      </c>
      <c r="AE1077" s="11" t="inlineStr">
        <is>
          <t>офсетная</t>
        </is>
      </c>
      <c r="AG1077" s="11" t="n">
        <v>12257230</v>
      </c>
      <c r="AI1077" s="11" t="inlineStr">
        <is>
          <t>4901990000</t>
        </is>
      </c>
    </row>
    <row r="1078" customFormat="1" s="11">
      <c r="A1078" s="11" t="inlineStr">
        <is>
          <t>нов</t>
        </is>
      </c>
      <c r="C1078" s="11" t="inlineStr">
        <is>
          <t xml:space="preserve">12257370            </t>
        </is>
      </c>
      <c r="D1078" s="11" t="inlineStr">
        <is>
          <t>Темная классика</t>
        </is>
      </c>
      <c r="E1078" s="11" t="inlineStr">
        <is>
          <t>Дом на отшибе. Ходжсон У.Х.</t>
        </is>
      </c>
      <c r="F1078" s="14" t="inlineStr">
        <is>
          <t>См.обл.</t>
        </is>
      </c>
      <c r="G1078" s="11" t="inlineStr">
        <is>
          <t>Ходжсон У.Х.</t>
        </is>
      </c>
      <c r="H1078" s="11" t="inlineStr">
        <is>
          <t>60х90/16</t>
        </is>
      </c>
      <c r="I1078" s="11" t="n">
        <v>448</v>
      </c>
      <c r="J1078" s="11" t="inlineStr">
        <is>
          <t>РИПОЛ Классик</t>
        </is>
      </c>
      <c r="M1078" s="11" t="inlineStr">
        <is>
          <t>2026</t>
        </is>
      </c>
      <c r="N1078" s="11" t="inlineStr">
        <is>
          <t>П</t>
        </is>
      </c>
      <c r="O1078" s="26" t="n">
        <v>8</v>
      </c>
      <c r="P1078" s="11">
        <f>ROUNDUP(990*(1-$F$3),2)</f>
        <v/>
      </c>
      <c r="Q1078" s="11" t="inlineStr">
        <is>
          <t> </t>
        </is>
      </c>
      <c r="R1078" s="11" t="inlineStr">
        <is>
          <t>978-5-386-15465-3</t>
        </is>
      </c>
      <c r="S1078" s="11" t="inlineStr">
        <is>
          <t>9785386154653</t>
        </is>
      </c>
      <c r="T1078" s="26" t="n">
        <v>10</v>
      </c>
      <c r="U1078" s="11">
        <f>ROUNDUP(900*(1-$F$3),2)</f>
        <v/>
      </c>
      <c r="V1078" s="11" t="n">
        <v>496</v>
      </c>
      <c r="Y1078" s="11" t="inlineStr">
        <is>
          <t>Дом на отшибе</t>
        </is>
      </c>
      <c r="Z1078" s="11" t="inlineStr">
        <is>
          <t>16+</t>
        </is>
      </c>
      <c r="AA1078" s="15" t="n">
        <v>46268</v>
      </c>
      <c r="AB1078" s="11" t="inlineStr">
        <is>
          <t>Художественная литература</t>
        </is>
      </c>
      <c r="AC1078" s="11" t="inlineStr">
        <is>
          <t>Фантастика. Мистика. Ужасы</t>
        </is>
      </c>
      <c r="AD1078" s="11" t="inlineStr">
        <is>
          <t>Зарубежная фантастика</t>
        </is>
      </c>
      <c r="AE1078" s="11" t="inlineStr">
        <is>
          <t>офсетная</t>
        </is>
      </c>
      <c r="AG1078" s="11" t="n">
        <v>12257370</v>
      </c>
      <c r="AI1078" s="11" t="inlineStr">
        <is>
          <t>4901990000</t>
        </is>
      </c>
    </row>
    <row r="1079" customFormat="1" s="11">
      <c r="A1079" s="11" t="inlineStr">
        <is>
          <t>нов</t>
        </is>
      </c>
      <c r="C1079" s="11" t="inlineStr">
        <is>
          <t xml:space="preserve">12252000            </t>
        </is>
      </c>
      <c r="D1079" s="11" t="inlineStr">
        <is>
          <t>Темная классика</t>
        </is>
      </c>
      <c r="E1079" s="11" t="inlineStr">
        <is>
          <t>Иероглифика. Мейчен А.</t>
        </is>
      </c>
      <c r="F1079" s="14" t="inlineStr">
        <is>
          <t>См.обл.</t>
        </is>
      </c>
      <c r="G1079" s="11" t="inlineStr">
        <is>
          <t>Мейчен А.</t>
        </is>
      </c>
      <c r="H1079" s="11" t="inlineStr">
        <is>
          <t>60х90/16</t>
        </is>
      </c>
      <c r="I1079" s="11" t="n">
        <v>416</v>
      </c>
      <c r="J1079" s="11" t="inlineStr">
        <is>
          <t>РИПОЛ Классик</t>
        </is>
      </c>
      <c r="M1079" s="11" t="inlineStr">
        <is>
          <t>2026</t>
        </is>
      </c>
      <c r="N1079" s="11" t="inlineStr">
        <is>
          <t>П</t>
        </is>
      </c>
      <c r="O1079" s="26" t="n">
        <v>8</v>
      </c>
      <c r="P1079" s="11">
        <f>ROUNDUP(990*(1-$F$3),2)</f>
        <v/>
      </c>
      <c r="Q1079" s="11" t="inlineStr">
        <is>
          <t> </t>
        </is>
      </c>
      <c r="R1079" s="11" t="inlineStr">
        <is>
          <t>978-5-386-15679-4</t>
        </is>
      </c>
      <c r="S1079" s="11" t="inlineStr">
        <is>
          <t>9785386156794</t>
        </is>
      </c>
      <c r="T1079" s="26" t="n">
        <v>22</v>
      </c>
      <c r="U1079" s="11">
        <f>ROUNDUP(811.48*(1-$F$3),2)</f>
        <v/>
      </c>
      <c r="V1079" s="11" t="n">
        <v>469</v>
      </c>
      <c r="Y1079" s="11" t="inlineStr">
        <is>
          <t>Иероглифика</t>
        </is>
      </c>
      <c r="Z1079" s="11" t="inlineStr">
        <is>
          <t>18+</t>
        </is>
      </c>
      <c r="AA1079" s="15" t="n">
        <v>46268</v>
      </c>
      <c r="AB1079" s="11" t="inlineStr">
        <is>
          <t>Художественная литература</t>
        </is>
      </c>
      <c r="AC1079" s="11" t="inlineStr">
        <is>
          <t>Фантастика. Мистика. Ужасы</t>
        </is>
      </c>
      <c r="AD1079" s="11" t="inlineStr">
        <is>
          <t>Зарубежная фантастика</t>
        </is>
      </c>
      <c r="AE1079" s="11" t="inlineStr">
        <is>
          <t>офсетная</t>
        </is>
      </c>
      <c r="AG1079" s="11" t="n">
        <v>12252000</v>
      </c>
      <c r="AI1079" s="11" t="inlineStr">
        <is>
          <t>4901990000</t>
        </is>
      </c>
      <c r="AJ1079" s="11" t="inlineStr">
        <is>
          <t>Зпв</t>
        </is>
      </c>
    </row>
    <row r="1080" customFormat="1" s="1">
      <c r="C1080" s="1" t="inlineStr">
        <is>
          <t xml:space="preserve">9980870             </t>
        </is>
      </c>
      <c r="D1080" s="1" t="inlineStr">
        <is>
          <t>Темная сторона</t>
        </is>
      </c>
      <c r="E1080" s="1" t="inlineStr">
        <is>
          <t>День, когда мир перестал покупать. Маккиннон Дж.Б.</t>
        </is>
      </c>
      <c r="F1080" s="13" t="inlineStr">
        <is>
          <t>См.обл.</t>
        </is>
      </c>
      <c r="G1080" s="1" t="inlineStr">
        <is>
          <t>Маккиннон Дж.Б.</t>
        </is>
      </c>
      <c r="H1080" s="1" t="inlineStr">
        <is>
          <t>70х100/16</t>
        </is>
      </c>
      <c r="I1080" s="1" t="n">
        <v>480</v>
      </c>
      <c r="J1080" s="1" t="inlineStr">
        <is>
          <t>РИПОЛ Классик</t>
        </is>
      </c>
      <c r="M1080" s="1" t="inlineStr">
        <is>
          <t>2022</t>
        </is>
      </c>
      <c r="N1080" s="1" t="inlineStr">
        <is>
          <t>П</t>
        </is>
      </c>
      <c r="O1080" s="9" t="n">
        <v>5</v>
      </c>
      <c r="P1080" s="1">
        <f>ROUNDUP(1750*(1-$F$3),2)</f>
        <v/>
      </c>
      <c r="Q1080" s="1" t="inlineStr">
        <is>
          <t> </t>
        </is>
      </c>
      <c r="R1080" s="1" t="inlineStr">
        <is>
          <t>978-5-386-14574-3</t>
        </is>
      </c>
      <c r="S1080" s="1" t="inlineStr">
        <is>
          <t>9785386145743</t>
        </is>
      </c>
      <c r="T1080" s="9" t="n">
        <v>10</v>
      </c>
      <c r="U1080" s="1">
        <f>ROUNDUP(1590.91*(1-$F$3),2)</f>
        <v/>
      </c>
      <c r="V1080" s="1" t="n">
        <v>873</v>
      </c>
      <c r="Y1080" s="1" t="inlineStr">
        <is>
          <t>День, когда мир перестал покупать</t>
        </is>
      </c>
      <c r="Z1080" s="1" t="inlineStr">
        <is>
          <t>16+</t>
        </is>
      </c>
      <c r="AA1080" s="12" t="n">
        <v>44513</v>
      </c>
      <c r="AB1080" s="1" t="inlineStr">
        <is>
          <t>Общественные науки</t>
        </is>
      </c>
      <c r="AC1080" s="1" t="inlineStr">
        <is>
          <t>Обществознание. Социология. Демография.</t>
        </is>
      </c>
      <c r="AD1080" s="1" t="inlineStr">
        <is>
          <t>Общая социология</t>
        </is>
      </c>
      <c r="AE1080" s="1" t="inlineStr">
        <is>
          <t>офсетная</t>
        </is>
      </c>
      <c r="AG1080" s="1" t="n">
        <v>9980870</v>
      </c>
      <c r="AI1080" s="1" t="inlineStr">
        <is>
          <t>4901990000</t>
        </is>
      </c>
      <c r="AJ1080" s="1" t="inlineStr">
        <is>
          <t>Зпв</t>
        </is>
      </c>
    </row>
    <row r="1081" customFormat="1" s="1">
      <c r="C1081" s="1" t="inlineStr">
        <is>
          <t xml:space="preserve">9035890             </t>
        </is>
      </c>
      <c r="D1081" s="1" t="inlineStr">
        <is>
          <t>Темная сторона</t>
        </is>
      </c>
      <c r="E1081" s="1" t="inlineStr">
        <is>
          <t>Дневник Гуантанамо. Слахи ульд М., Симс Л.</t>
        </is>
      </c>
      <c r="F1081" s="13" t="inlineStr">
        <is>
          <t>См.обл.</t>
        </is>
      </c>
      <c r="G1081" s="1" t="inlineStr">
        <is>
          <t>Слахи ульд М., Симс Л.</t>
        </is>
      </c>
      <c r="H1081" s="1" t="inlineStr">
        <is>
          <t>60х90/16</t>
        </is>
      </c>
      <c r="I1081" s="1" t="n">
        <v>464</v>
      </c>
      <c r="J1081" s="1" t="inlineStr">
        <is>
          <t>РИПОЛ Классик</t>
        </is>
      </c>
      <c r="K1081" s="1" t="inlineStr">
        <is>
          <t>Пальмира</t>
        </is>
      </c>
      <c r="M1081" s="1" t="inlineStr">
        <is>
          <t>2025</t>
        </is>
      </c>
      <c r="N1081" s="1" t="inlineStr">
        <is>
          <t>О</t>
        </is>
      </c>
      <c r="O1081" s="9" t="n">
        <v>5</v>
      </c>
      <c r="P1081" s="1">
        <f>ROUNDUP(980*(1-$F$3),2)</f>
        <v/>
      </c>
      <c r="Q1081" s="1" t="inlineStr">
        <is>
          <t> </t>
        </is>
      </c>
      <c r="R1081" s="1" t="inlineStr">
        <is>
          <t>978-5-386-12311-6</t>
        </is>
      </c>
      <c r="S1081" s="1" t="inlineStr">
        <is>
          <t>9785386123116</t>
        </is>
      </c>
      <c r="T1081" s="9" t="n">
        <v>10</v>
      </c>
      <c r="U1081" s="1">
        <f>ROUNDUP(890.91*(1-$F$3),2)</f>
        <v/>
      </c>
      <c r="V1081" s="1" t="n">
        <v>323</v>
      </c>
      <c r="Y1081" s="1" t="inlineStr">
        <is>
          <t>Дневник Гуантанамо</t>
        </is>
      </c>
      <c r="Z1081" s="1" t="inlineStr">
        <is>
          <t>18+</t>
        </is>
      </c>
      <c r="AA1081" s="12" t="n">
        <v>43647</v>
      </c>
      <c r="AB1081" s="1" t="inlineStr">
        <is>
          <t>Художественно-документальная проза</t>
        </is>
      </c>
      <c r="AC1081" s="1" t="inlineStr">
        <is>
          <t>Биографии. Мемуары</t>
        </is>
      </c>
      <c r="AD1081" s="1" t="inlineStr">
        <is>
          <t>Воспоминания. Дневники. Письма</t>
        </is>
      </c>
      <c r="AE1081" s="1" t="inlineStr">
        <is>
          <t>газетная</t>
        </is>
      </c>
      <c r="AG1081" s="1" t="n">
        <v>9035890</v>
      </c>
      <c r="AI1081" s="1" t="inlineStr">
        <is>
          <t>4901990000</t>
        </is>
      </c>
      <c r="AJ1081" s="1" t="inlineStr">
        <is>
          <t>Зпв</t>
        </is>
      </c>
    </row>
    <row r="1082" customFormat="1" s="1">
      <c r="C1082" s="1" t="inlineStr">
        <is>
          <t xml:space="preserve">9184240             </t>
        </is>
      </c>
      <c r="D1082" s="1" t="inlineStr">
        <is>
          <t>Темная сторона</t>
        </is>
      </c>
      <c r="E1082" s="1" t="inlineStr">
        <is>
          <t>Однажды в... реальном Голливуде. Подлинная история голливудской резни. Буглиози В., Джентри К.</t>
        </is>
      </c>
      <c r="F1082" s="13" t="inlineStr">
        <is>
          <t>См.обл.</t>
        </is>
      </c>
      <c r="G1082" s="1" t="inlineStr">
        <is>
          <t>Буглиози В., Джентри К.</t>
        </is>
      </c>
      <c r="H1082" s="1" t="inlineStr">
        <is>
          <t>60х90/16</t>
        </is>
      </c>
      <c r="I1082" s="1" t="n">
        <v>399</v>
      </c>
      <c r="J1082" s="1" t="inlineStr">
        <is>
          <t>РИПОЛ Классик</t>
        </is>
      </c>
      <c r="M1082" s="1" t="inlineStr">
        <is>
          <t>2019</t>
        </is>
      </c>
      <c r="N1082" s="1" t="inlineStr">
        <is>
          <t>О</t>
        </is>
      </c>
      <c r="O1082" s="9" t="n">
        <v>10</v>
      </c>
      <c r="P1082" s="1">
        <f>ROUNDUP(1030*(1-$F$3),2)</f>
        <v/>
      </c>
      <c r="Q1082" s="1" t="inlineStr">
        <is>
          <t> </t>
        </is>
      </c>
      <c r="R1082" s="1" t="inlineStr">
        <is>
          <t>978-5-386-12698-8</t>
        </is>
      </c>
      <c r="S1082" s="1" t="inlineStr">
        <is>
          <t>9785386126988</t>
        </is>
      </c>
      <c r="T1082" s="9" t="n">
        <v>10</v>
      </c>
      <c r="U1082" s="1">
        <f>ROUNDUP(936.36*(1-$F$3),2)</f>
        <v/>
      </c>
      <c r="V1082" s="1" t="n">
        <v>429</v>
      </c>
      <c r="Y1082" s="1" t="inlineStr">
        <is>
          <t>Однажды в... реальном Голливуде. Подлинная история голливудской резни</t>
        </is>
      </c>
      <c r="Z1082" s="1" t="inlineStr">
        <is>
          <t>18+</t>
        </is>
      </c>
      <c r="AA1082" s="12" t="n">
        <v>43746</v>
      </c>
      <c r="AB1082" s="1" t="inlineStr">
        <is>
          <t>Художественная литература</t>
        </is>
      </c>
      <c r="AC1082" s="1" t="inlineStr">
        <is>
          <t>Детективы. Боевики. Триллеры</t>
        </is>
      </c>
      <c r="AD1082" s="1" t="inlineStr">
        <is>
          <t>Зарубежный детектив</t>
        </is>
      </c>
      <c r="AE1082" s="1" t="inlineStr">
        <is>
          <t>офсетная</t>
        </is>
      </c>
      <c r="AG1082" s="1" t="n">
        <v>9184240</v>
      </c>
      <c r="AI1082" s="1" t="inlineStr">
        <is>
          <t>4901990000</t>
        </is>
      </c>
      <c r="AJ1082" s="1" t="inlineStr">
        <is>
          <t>Зпв</t>
        </is>
      </c>
    </row>
    <row r="1083" customFormat="1" s="11">
      <c r="A1083" s="11" t="inlineStr">
        <is>
          <t>нов</t>
        </is>
      </c>
      <c r="C1083" s="11" t="inlineStr">
        <is>
          <t xml:space="preserve">12240660            </t>
        </is>
      </c>
      <c r="D1083" s="11" t="inlineStr">
        <is>
          <t>Точки опоры</t>
        </is>
      </c>
      <c r="E1083" s="11" t="inlineStr">
        <is>
          <t>Воспитай нейросеть! Что доверять ИИ, как проверять и за что отвечать самому. Шурыгина О.А.</t>
        </is>
      </c>
      <c r="F1083" s="14" t="inlineStr">
        <is>
          <t>См.обл.</t>
        </is>
      </c>
      <c r="G1083" s="11" t="inlineStr">
        <is>
          <t>Шурыгина О.А.</t>
        </is>
      </c>
      <c r="H1083" s="11" t="inlineStr">
        <is>
          <t>60х90/16</t>
        </is>
      </c>
      <c r="I1083" s="11" t="n">
        <v>320</v>
      </c>
      <c r="J1083" s="11" t="inlineStr">
        <is>
          <t>РИПОЛ Классик</t>
        </is>
      </c>
      <c r="M1083" s="11" t="inlineStr">
        <is>
          <t>2026</t>
        </is>
      </c>
      <c r="N1083" s="11" t="inlineStr">
        <is>
          <t>П</t>
        </is>
      </c>
      <c r="O1083" s="26" t="n">
        <v>10</v>
      </c>
      <c r="P1083" s="11">
        <f>ROUNDUP(950*(1-$F$3),2)</f>
        <v/>
      </c>
      <c r="Q1083" s="11" t="inlineStr">
        <is>
          <t> </t>
        </is>
      </c>
      <c r="R1083" s="11" t="inlineStr">
        <is>
          <t>978-5-386-15651-0</t>
        </is>
      </c>
      <c r="S1083" s="11" t="inlineStr">
        <is>
          <t>9785386156510</t>
        </is>
      </c>
      <c r="T1083" s="26" t="n">
        <v>10</v>
      </c>
      <c r="U1083" s="11">
        <f>ROUNDUP(863.64*(1-$F$3),2)</f>
        <v/>
      </c>
      <c r="V1083" s="11" t="n">
        <v>408</v>
      </c>
      <c r="Y1083" s="11" t="inlineStr">
        <is>
          <t>Воспитай нейросеть! Что доверять ИИ, как проверять и за что отвечать самому</t>
        </is>
      </c>
      <c r="Z1083" s="11" t="inlineStr">
        <is>
          <t>16+</t>
        </is>
      </c>
      <c r="AA1083" s="15" t="n">
        <v>46261</v>
      </c>
      <c r="AB1083" s="11" t="inlineStr">
        <is>
          <t>Компьютерная литература</t>
        </is>
      </c>
      <c r="AC1083" s="11" t="inlineStr">
        <is>
          <t>Информатика. Информационные технологии</t>
        </is>
      </c>
      <c r="AD1083" s="11" t="inlineStr">
        <is>
          <t>Нейросети, искусственный интеллект</t>
        </is>
      </c>
      <c r="AE1083" s="11" t="inlineStr">
        <is>
          <t>офсетная</t>
        </is>
      </c>
      <c r="AG1083" s="11" t="n">
        <v>12240660</v>
      </c>
      <c r="AI1083" s="11" t="inlineStr">
        <is>
          <t>4901990000</t>
        </is>
      </c>
    </row>
    <row r="1084" customFormat="1" s="1">
      <c r="C1084" s="1" t="inlineStr">
        <is>
          <t xml:space="preserve">12228500            </t>
        </is>
      </c>
      <c r="D1084" s="1" t="inlineStr">
        <is>
          <t>Точки опоры</t>
        </is>
      </c>
      <c r="E1084" s="1" t="inlineStr">
        <is>
          <t>Школьная дипломатия. Как родителям и учителям услышать друг друга и стать командой. Васильева Л.И</t>
        </is>
      </c>
      <c r="F1084" s="13" t="inlineStr">
        <is>
          <t>См.обл.</t>
        </is>
      </c>
      <c r="G1084" s="1" t="inlineStr">
        <is>
          <t>Васильева Л.И</t>
        </is>
      </c>
      <c r="H1084" s="1" t="inlineStr">
        <is>
          <t>60х90/16</t>
        </is>
      </c>
      <c r="I1084" s="1" t="n">
        <v>256</v>
      </c>
      <c r="J1084" s="1" t="inlineStr">
        <is>
          <t>РИПОЛ Классик</t>
        </is>
      </c>
      <c r="M1084" s="1" t="inlineStr">
        <is>
          <t>2026</t>
        </is>
      </c>
      <c r="N1084" s="1" t="inlineStr">
        <is>
          <t>П</t>
        </is>
      </c>
      <c r="O1084" s="9" t="n">
        <v>12</v>
      </c>
      <c r="P1084" s="1">
        <f>ROUNDUP(890*(1-$F$3),2)</f>
        <v/>
      </c>
      <c r="Q1084" s="1" t="inlineStr">
        <is>
          <t> </t>
        </is>
      </c>
      <c r="R1084" s="1" t="inlineStr">
        <is>
          <t>978-5-386-15580-3</t>
        </is>
      </c>
      <c r="S1084" s="1" t="inlineStr">
        <is>
          <t>9785386155803</t>
        </is>
      </c>
      <c r="T1084" s="9" t="n">
        <v>10</v>
      </c>
      <c r="U1084" s="1">
        <f>ROUNDUP(809.09*(1-$F$3),2)</f>
        <v/>
      </c>
      <c r="V1084" s="1" t="n">
        <v>409</v>
      </c>
      <c r="Y1084" s="1" t="inlineStr">
        <is>
          <t>Школьная дипломатия. Как родителям и учителям услышать друг друга и стать командой</t>
        </is>
      </c>
      <c r="Z1084" s="1" t="inlineStr">
        <is>
          <t>16+</t>
        </is>
      </c>
      <c r="AA1084" s="12" t="n">
        <v>46237</v>
      </c>
      <c r="AB1084" s="1" t="inlineStr">
        <is>
          <t>Общественные науки</t>
        </is>
      </c>
      <c r="AC1084" s="1" t="inlineStr">
        <is>
          <t>Педагогика</t>
        </is>
      </c>
      <c r="AD1084" s="1" t="inlineStr">
        <is>
          <t>Общие вопросы</t>
        </is>
      </c>
      <c r="AE1084" s="1" t="inlineStr">
        <is>
          <t>офсетная</t>
        </is>
      </c>
      <c r="AG1084" s="1" t="n">
        <v>12228500</v>
      </c>
      <c r="AI1084" s="1" t="inlineStr">
        <is>
          <t>4901990000</t>
        </is>
      </c>
    </row>
    <row r="1085" customFormat="1" s="1">
      <c r="C1085" s="1" t="inlineStr">
        <is>
          <t xml:space="preserve">9349010             </t>
        </is>
      </c>
      <c r="D1085" s="1" t="inlineStr">
        <is>
          <t>Травелог-бестселлер</t>
        </is>
      </c>
      <c r="E1085" s="1" t="inlineStr">
        <is>
          <t>Сквозь Африку. Заметки и размышления путешественника на деревянном велосипеде. Колотов К.</t>
        </is>
      </c>
      <c r="F1085" s="13" t="inlineStr">
        <is>
          <t>См.обл.</t>
        </is>
      </c>
      <c r="G1085" s="1" t="inlineStr">
        <is>
          <t>Колотов К.</t>
        </is>
      </c>
      <c r="H1085" s="1" t="inlineStr">
        <is>
          <t>84х108/32</t>
        </is>
      </c>
      <c r="I1085" s="1" t="n">
        <v>480</v>
      </c>
      <c r="J1085" s="1" t="inlineStr">
        <is>
          <t>РИПОЛ Классик</t>
        </is>
      </c>
      <c r="M1085" s="1" t="inlineStr">
        <is>
          <t>2020</t>
        </is>
      </c>
      <c r="N1085" s="1" t="inlineStr">
        <is>
          <t>П</t>
        </is>
      </c>
      <c r="O1085" s="9" t="n">
        <v>8</v>
      </c>
      <c r="P1085" s="1">
        <f>ROUNDUP(1110*(1-$F$3),2)</f>
        <v/>
      </c>
      <c r="Q1085" s="1" t="inlineStr">
        <is>
          <t> </t>
        </is>
      </c>
      <c r="R1085" s="1" t="inlineStr">
        <is>
          <t>978-5-386-13614-7</t>
        </is>
      </c>
      <c r="S1085" s="1" t="inlineStr">
        <is>
          <t>9785386136147</t>
        </is>
      </c>
      <c r="T1085" s="9" t="n">
        <v>10</v>
      </c>
      <c r="U1085" s="1">
        <f>ROUNDUP(1009.09*(1-$F$3),2)</f>
        <v/>
      </c>
      <c r="V1085" s="1" t="n">
        <v>456</v>
      </c>
      <c r="Y1085" s="1" t="inlineStr">
        <is>
          <t>Сквозь Африку. Заметки и размышления путешественника на деревянном велосипеде</t>
        </is>
      </c>
      <c r="Z1085" s="1" t="inlineStr">
        <is>
          <t>12+</t>
        </is>
      </c>
      <c r="AA1085" s="12" t="n">
        <v>43914</v>
      </c>
      <c r="AB1085" s="1" t="inlineStr">
        <is>
          <t>Естественные науки. Математика</t>
        </is>
      </c>
      <c r="AC1085" s="1" t="inlineStr">
        <is>
          <t>Науки о Земле</t>
        </is>
      </c>
      <c r="AD1085" s="1" t="inlineStr">
        <is>
          <t>Страноведение. Краеведение</t>
        </is>
      </c>
      <c r="AE1085" s="1" t="inlineStr">
        <is>
          <t>офсетная</t>
        </is>
      </c>
      <c r="AG1085" s="1" t="n">
        <v>9349010</v>
      </c>
      <c r="AI1085" s="1" t="inlineStr">
        <is>
          <t>4901990000</t>
        </is>
      </c>
      <c r="AJ1085" s="1" t="inlineStr">
        <is>
          <t>Зпв</t>
        </is>
      </c>
    </row>
    <row r="1086" customFormat="1" s="1">
      <c r="C1086" s="1" t="inlineStr">
        <is>
          <t xml:space="preserve">9690490             </t>
        </is>
      </c>
      <c r="D1086" s="1" t="inlineStr">
        <is>
          <t>Три метра над небом</t>
        </is>
      </c>
      <c r="E1086" s="1" t="inlineStr">
        <is>
          <t>Прости за любовь: роман. Моччиа Ф.</t>
        </is>
      </c>
      <c r="F1086" s="13" t="inlineStr">
        <is>
          <t>См.обл.</t>
        </is>
      </c>
      <c r="G1086" s="1" t="inlineStr">
        <is>
          <t>Моччиа Ф.</t>
        </is>
      </c>
      <c r="H1086" s="1" t="inlineStr">
        <is>
          <t>84х108/32</t>
        </is>
      </c>
      <c r="I1086" s="1" t="n">
        <v>464</v>
      </c>
      <c r="J1086" s="1" t="inlineStr">
        <is>
          <t>РИПОЛ Классик</t>
        </is>
      </c>
      <c r="M1086" s="1" t="inlineStr">
        <is>
          <t>2021</t>
        </is>
      </c>
      <c r="N1086" s="1" t="inlineStr">
        <is>
          <t>П</t>
        </is>
      </c>
      <c r="O1086" s="9" t="n">
        <v>8</v>
      </c>
      <c r="P1086" s="1">
        <f>ROUNDUP(900*(1-$F$3),2)</f>
        <v/>
      </c>
      <c r="Q1086" s="1" t="inlineStr">
        <is>
          <t> </t>
        </is>
      </c>
      <c r="R1086" s="1" t="inlineStr">
        <is>
          <t>978-5-386-14145-5</t>
        </is>
      </c>
      <c r="S1086" s="1" t="inlineStr">
        <is>
          <t>9785386141455</t>
        </is>
      </c>
      <c r="T1086" s="9" t="n">
        <v>10</v>
      </c>
      <c r="U1086" s="1">
        <f>ROUNDUP(818.18*(1-$F$3),2)</f>
        <v/>
      </c>
      <c r="V1086" s="1" t="n">
        <v>346</v>
      </c>
      <c r="Y1086" s="1" t="inlineStr">
        <is>
          <t>Прости за любовь: роман</t>
        </is>
      </c>
      <c r="Z1086" s="1" t="inlineStr">
        <is>
          <t>16+</t>
        </is>
      </c>
      <c r="AA1086" s="12" t="n">
        <v>44334</v>
      </c>
      <c r="AB1086" s="1" t="inlineStr">
        <is>
          <t>Художественная литература</t>
        </is>
      </c>
      <c r="AC1086" s="1" t="inlineStr">
        <is>
          <t>Сентиментальная проза</t>
        </is>
      </c>
      <c r="AD1086" s="1" t="inlineStr">
        <is>
          <t>Зарубежный сентиментальный роман</t>
        </is>
      </c>
      <c r="AE1086" s="1" t="inlineStr">
        <is>
          <t>газетная</t>
        </is>
      </c>
      <c r="AG1086" s="1" t="n">
        <v>9690490</v>
      </c>
      <c r="AI1086" s="1" t="inlineStr">
        <is>
          <t>4901990000</t>
        </is>
      </c>
      <c r="AJ1086" s="1" t="inlineStr">
        <is>
          <t>Зпв</t>
        </is>
      </c>
    </row>
    <row r="1087" customFormat="1" s="1">
      <c r="C1087" s="1" t="inlineStr">
        <is>
          <t xml:space="preserve">8397290             </t>
        </is>
      </c>
      <c r="D1087" s="1" t="inlineStr">
        <is>
          <t>Узнать за 30 секунд</t>
        </is>
      </c>
      <c r="E1087" s="1" t="inlineStr">
        <is>
          <t>Леонардо да Винчи за 30 секунд. Аме-Льюис Ф., Барон Дж., Калтер П.</t>
        </is>
      </c>
      <c r="F1087" s="13" t="inlineStr">
        <is>
          <t>См.обл.</t>
        </is>
      </c>
      <c r="G1087" s="1" t="inlineStr">
        <is>
          <t>Аме-Льюис Ф., Барон Дж., Калтер П.</t>
        </is>
      </c>
      <c r="H1087" s="1" t="inlineStr">
        <is>
          <t>80х98/16</t>
        </is>
      </c>
      <c r="I1087" s="1" t="n">
        <v>160</v>
      </c>
      <c r="J1087" s="1" t="inlineStr">
        <is>
          <t>РИПОЛ Классик</t>
        </is>
      </c>
      <c r="M1087" s="1" t="inlineStr">
        <is>
          <t>2017</t>
        </is>
      </c>
      <c r="N1087" s="1" t="inlineStr">
        <is>
          <t>П</t>
        </is>
      </c>
      <c r="O1087" s="9" t="n">
        <v>24</v>
      </c>
      <c r="P1087" s="1">
        <f>ROUNDUP(1150*(1-$F$3),2)</f>
        <v/>
      </c>
      <c r="Q1087" s="1" t="inlineStr">
        <is>
          <t> </t>
        </is>
      </c>
      <c r="R1087" s="1" t="inlineStr">
        <is>
          <t>978-5-386-10323-1</t>
        </is>
      </c>
      <c r="S1087" s="1" t="inlineStr">
        <is>
          <t>9785386103231</t>
        </is>
      </c>
      <c r="T1087" s="9" t="n">
        <v>10</v>
      </c>
      <c r="U1087" s="1">
        <f>ROUNDUP(1045.45*(1-$F$3),2)</f>
        <v/>
      </c>
      <c r="V1087" s="1" t="n">
        <v>618</v>
      </c>
      <c r="Y1087" s="1" t="inlineStr">
        <is>
          <t>Леонардо да Винчи за 30 секунд</t>
        </is>
      </c>
      <c r="Z1087" s="1" t="inlineStr">
        <is>
          <t>12+</t>
        </is>
      </c>
      <c r="AA1087" s="12" t="n">
        <v>43146</v>
      </c>
      <c r="AB1087" s="1" t="inlineStr">
        <is>
          <t>Справочные издания</t>
        </is>
      </c>
      <c r="AC1087" s="1" t="inlineStr">
        <is>
          <t>Универсальные словари и энциклопедии</t>
        </is>
      </c>
      <c r="AD1087" s="1" t="inlineStr">
        <is>
          <t> </t>
        </is>
      </c>
      <c r="AE1087" s="1" t="inlineStr">
        <is>
          <t>мелованная</t>
        </is>
      </c>
      <c r="AG1087" s="1" t="n">
        <v>8397290</v>
      </c>
      <c r="AI1087" s="1" t="inlineStr">
        <is>
          <t>4901990000</t>
        </is>
      </c>
    </row>
    <row r="1088" customFormat="1" s="1">
      <c r="C1088" s="1" t="inlineStr">
        <is>
          <t>320288</t>
        </is>
      </c>
      <c r="D1088" s="1" t="inlineStr">
        <is>
          <t>Узнать за 30 секунд</t>
        </is>
      </c>
      <c r="E1088" s="1" t="inlineStr">
        <is>
          <t>Стивен Хокинг за 30 секунд. Ред. Парсонс П.</t>
        </is>
      </c>
      <c r="F1088" s="13" t="inlineStr">
        <is>
          <t>См.обл.</t>
        </is>
      </c>
      <c r="G1088" s="1" t="inlineStr">
        <is>
          <t>Ред. Парсонс П.</t>
        </is>
      </c>
      <c r="H1088" s="1" t="inlineStr">
        <is>
          <t>80х98/16</t>
        </is>
      </c>
      <c r="I1088" s="1" t="n">
        <v>160</v>
      </c>
      <c r="J1088" s="1" t="inlineStr">
        <is>
          <t>РИПОЛ Классик</t>
        </is>
      </c>
      <c r="M1088" s="1" t="inlineStr">
        <is>
          <t>2018</t>
        </is>
      </c>
      <c r="N1088" s="1" t="inlineStr">
        <is>
          <t>П</t>
        </is>
      </c>
      <c r="O1088" s="9" t="n">
        <v>24</v>
      </c>
      <c r="P1088" s="1">
        <f>ROUNDUP(1023.9*(1-$F$3),2)</f>
        <v/>
      </c>
      <c r="Q1088" s="1" t="inlineStr">
        <is>
          <t> </t>
        </is>
      </c>
      <c r="R1088" s="1" t="inlineStr">
        <is>
          <t>978-5-386-08143-0</t>
        </is>
      </c>
      <c r="S1088" s="1" t="inlineStr">
        <is>
          <t>9785386081430</t>
        </is>
      </c>
      <c r="T1088" s="9" t="n">
        <v>10</v>
      </c>
      <c r="U1088" s="1">
        <f>ROUNDUP(930.82*(1-$F$3),2)</f>
        <v/>
      </c>
      <c r="V1088" s="1" t="n">
        <v>581</v>
      </c>
      <c r="W1088" s="1" t="inlineStr">
        <is>
          <t xml:space="preserve">683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1088" s="1" t="inlineStr">
        <is>
          <t xml:space="preserve">Биографии                                                                                                                       </t>
        </is>
      </c>
      <c r="Y1088" s="1" t="inlineStr">
        <is>
          <t>Стивен Хокинг за 30 секунд</t>
        </is>
      </c>
      <c r="Z1088" s="1" t="inlineStr">
        <is>
          <t>12+</t>
        </is>
      </c>
      <c r="AA1088" s="12" t="n">
        <v>42247</v>
      </c>
      <c r="AB1088" s="1" t="inlineStr">
        <is>
          <t>Справочные издания</t>
        </is>
      </c>
      <c r="AC1088" s="1" t="inlineStr">
        <is>
          <t>Универсальные словари и энциклопедии</t>
        </is>
      </c>
      <c r="AD1088" s="1" t="inlineStr">
        <is>
          <t>Наука. Науковедение</t>
        </is>
      </c>
      <c r="AE1088" s="1" t="inlineStr">
        <is>
          <t>мелованная</t>
        </is>
      </c>
      <c r="AG1088" s="1" t="n">
        <v>7001210</v>
      </c>
      <c r="AI1088" s="1" t="inlineStr">
        <is>
          <t>4901990000</t>
        </is>
      </c>
    </row>
    <row r="1089" customFormat="1" s="1">
      <c r="C1089" s="1" t="inlineStr">
        <is>
          <t xml:space="preserve">10369200            </t>
        </is>
      </c>
      <c r="D1089" s="1" t="inlineStr">
        <is>
          <t>Уроки истории</t>
        </is>
      </c>
      <c r="E1089" s="1" t="inlineStr">
        <is>
          <t>Бунт и смута на Руси. Минаев С.С.</t>
        </is>
      </c>
      <c r="F1089" s="13" t="inlineStr">
        <is>
          <t>См.обл.</t>
        </is>
      </c>
      <c r="G1089" s="1" t="inlineStr">
        <is>
          <t>Минаев С.С.</t>
        </is>
      </c>
      <c r="H1089" s="1" t="inlineStr">
        <is>
          <t>70х100/16</t>
        </is>
      </c>
      <c r="I1089" s="1" t="n">
        <v>256</v>
      </c>
      <c r="J1089" s="1" t="inlineStr">
        <is>
          <t>РИПОЛ Классик</t>
        </is>
      </c>
      <c r="M1089" s="1" t="inlineStr">
        <is>
          <t>2022</t>
        </is>
      </c>
      <c r="N1089" s="1" t="inlineStr">
        <is>
          <t>П</t>
        </is>
      </c>
      <c r="O1089" s="9" t="n">
        <v>6</v>
      </c>
      <c r="P1089" s="1">
        <f>ROUNDUP(1400*(1-$F$3),2)</f>
        <v/>
      </c>
      <c r="Q1089" s="1" t="inlineStr">
        <is>
          <t> </t>
        </is>
      </c>
      <c r="R1089" s="1" t="inlineStr">
        <is>
          <t>978-5-386-14636-8</t>
        </is>
      </c>
      <c r="S1089" s="1" t="inlineStr">
        <is>
          <t>9785386146368</t>
        </is>
      </c>
      <c r="T1089" s="9" t="n">
        <v>10</v>
      </c>
      <c r="U1089" s="1">
        <f>ROUNDUP(1272.73*(1-$F$3),2)</f>
        <v/>
      </c>
      <c r="V1089" s="1" t="n">
        <v>696</v>
      </c>
      <c r="Y1089" s="1" t="inlineStr">
        <is>
          <t>Бунт и смута на Руси</t>
        </is>
      </c>
      <c r="Z1089" s="1" t="inlineStr">
        <is>
          <t>16+</t>
        </is>
      </c>
      <c r="AA1089" s="12" t="n">
        <v>44727</v>
      </c>
      <c r="AB1089" s="1" t="inlineStr">
        <is>
          <t>Гуманитарные науки</t>
        </is>
      </c>
      <c r="AC1089" s="1" t="inlineStr">
        <is>
          <t>История</t>
        </is>
      </c>
      <c r="AD1089" s="1" t="inlineStr">
        <is>
          <t>История России</t>
        </is>
      </c>
      <c r="AE1089" s="1" t="inlineStr">
        <is>
          <t>офсетная</t>
        </is>
      </c>
      <c r="AG1089" s="1" t="n">
        <v>10369200</v>
      </c>
      <c r="AI1089" s="1" t="inlineStr">
        <is>
          <t>4901990000</t>
        </is>
      </c>
    </row>
    <row r="1090" customFormat="1" s="1">
      <c r="C1090" s="1" t="inlineStr">
        <is>
          <t xml:space="preserve">7892360             </t>
        </is>
      </c>
      <c r="D1090" s="1" t="inlineStr">
        <is>
          <t>Учебные романы</t>
        </is>
      </c>
      <c r="E1090" s="1" t="inlineStr">
        <is>
          <t>Расстояние между нами. Уэст К.</t>
        </is>
      </c>
      <c r="F1090" s="13" t="inlineStr">
        <is>
          <t>См.обл.</t>
        </is>
      </c>
      <c r="G1090" s="1" t="inlineStr">
        <is>
          <t>Уэст К.</t>
        </is>
      </c>
      <c r="H1090" s="1" t="inlineStr">
        <is>
          <t>60х90/16</t>
        </is>
      </c>
      <c r="I1090" s="1" t="n">
        <v>256</v>
      </c>
      <c r="J1090" s="1" t="inlineStr">
        <is>
          <t>РИПОЛ Классик</t>
        </is>
      </c>
      <c r="M1090" s="1" t="inlineStr">
        <is>
          <t>2016</t>
        </is>
      </c>
      <c r="N1090" s="1" t="inlineStr">
        <is>
          <t>П</t>
        </is>
      </c>
      <c r="O1090" s="9" t="n">
        <v>14</v>
      </c>
      <c r="P1090" s="1">
        <f>ROUNDUP(1023.9*(1-$F$3),2)</f>
        <v/>
      </c>
      <c r="Q1090" s="1" t="inlineStr">
        <is>
          <t> </t>
        </is>
      </c>
      <c r="R1090" s="1" t="inlineStr">
        <is>
          <t>978-5-386-09651-9</t>
        </is>
      </c>
      <c r="S1090" s="1" t="inlineStr">
        <is>
          <t>9785386096519</t>
        </is>
      </c>
      <c r="T1090" s="9" t="n">
        <v>10</v>
      </c>
      <c r="U1090" s="1">
        <f>ROUNDUP(930.82*(1-$F$3),2)</f>
        <v/>
      </c>
      <c r="V1090" s="1" t="n">
        <v>357</v>
      </c>
      <c r="Y1090" s="1" t="inlineStr">
        <is>
          <t>Расстояние между нами</t>
        </is>
      </c>
      <c r="Z1090" s="1" t="inlineStr">
        <is>
          <t>12+</t>
        </is>
      </c>
      <c r="AA1090" s="12" t="n">
        <v>42689</v>
      </c>
      <c r="AB1090" s="1" t="inlineStr">
        <is>
          <t>Художественная литература</t>
        </is>
      </c>
      <c r="AC1090" s="1" t="inlineStr">
        <is>
          <t>Зарубежная литература</t>
        </is>
      </c>
      <c r="AD1090" s="1" t="inlineStr">
        <is>
          <t>Литература Америки и Австралии</t>
        </is>
      </c>
      <c r="AE1090" s="1" t="inlineStr">
        <is>
          <t> </t>
        </is>
      </c>
      <c r="AG1090" s="1" t="n">
        <v>7892360</v>
      </c>
      <c r="AI1090" s="1" t="inlineStr">
        <is>
          <t>4901990000</t>
        </is>
      </c>
    </row>
    <row r="1091" customFormat="1" s="1">
      <c r="C1091" s="1" t="inlineStr">
        <is>
          <t xml:space="preserve">7666990             </t>
        </is>
      </c>
      <c r="D1091" s="1" t="inlineStr">
        <is>
          <t>Учебные романы</t>
        </is>
      </c>
      <c r="E1091" s="1" t="inlineStr">
        <is>
          <t>Стань моим парнем. Уэст К.</t>
        </is>
      </c>
      <c r="F1091" s="13" t="inlineStr">
        <is>
          <t>См.обл.</t>
        </is>
      </c>
      <c r="G1091" s="1" t="inlineStr">
        <is>
          <t>Уэст К.</t>
        </is>
      </c>
      <c r="H1091" s="1" t="inlineStr">
        <is>
          <t>60х90/16</t>
        </is>
      </c>
      <c r="I1091" s="1" t="n">
        <v>272</v>
      </c>
      <c r="J1091" s="1" t="inlineStr">
        <is>
          <t>РИПОЛ Классик</t>
        </is>
      </c>
      <c r="M1091" s="1" t="inlineStr">
        <is>
          <t>2020</t>
        </is>
      </c>
      <c r="N1091" s="1" t="inlineStr">
        <is>
          <t>П</t>
        </is>
      </c>
      <c r="O1091" s="9" t="n">
        <v>12</v>
      </c>
      <c r="P1091" s="1">
        <f>ROUNDUP(1000*(1-$F$3),2)</f>
        <v/>
      </c>
      <c r="Q1091" s="1" t="inlineStr">
        <is>
          <t> </t>
        </is>
      </c>
      <c r="R1091" s="1" t="inlineStr">
        <is>
          <t>978-5-386-09488-1</t>
        </is>
      </c>
      <c r="S1091" s="1" t="inlineStr">
        <is>
          <t>9785386094881</t>
        </is>
      </c>
      <c r="T1091" s="9" t="n">
        <v>10</v>
      </c>
      <c r="U1091" s="1">
        <f>ROUNDUP(909.09*(1-$F$3),2)</f>
        <v/>
      </c>
      <c r="V1091" s="1" t="n">
        <v>394</v>
      </c>
      <c r="Y1091" s="1" t="inlineStr">
        <is>
          <t>Стань моим парнем</t>
        </is>
      </c>
      <c r="Z1091" s="1" t="inlineStr">
        <is>
          <t>16+</t>
        </is>
      </c>
      <c r="AA1091" s="12" t="n">
        <v>42572</v>
      </c>
      <c r="AB1091" s="1" t="inlineStr">
        <is>
          <t>Художественная литература</t>
        </is>
      </c>
      <c r="AC1091" s="1" t="inlineStr">
        <is>
          <t>Зарубежная литература</t>
        </is>
      </c>
      <c r="AD1091" s="1" t="inlineStr">
        <is>
          <t>Литература Америки и Австралии</t>
        </is>
      </c>
      <c r="AE1091" s="1" t="inlineStr">
        <is>
          <t>офсетная</t>
        </is>
      </c>
      <c r="AG1091" s="1" t="n">
        <v>7666990</v>
      </c>
      <c r="AI1091" s="1" t="inlineStr">
        <is>
          <t>4901990000</t>
        </is>
      </c>
    </row>
    <row r="1092" customFormat="1" s="1">
      <c r="C1092" s="1" t="inlineStr">
        <is>
          <t xml:space="preserve">8280680             </t>
        </is>
      </c>
      <c r="D1092" s="1" t="inlineStr">
        <is>
          <t>ФанЛаб</t>
        </is>
      </c>
      <c r="E1092" s="1" t="inlineStr">
        <is>
          <t>Сказка о потерянной осени. Власов П.В., Власова О.</t>
        </is>
      </c>
      <c r="F1092" s="13" t="inlineStr">
        <is>
          <t>См.обл.</t>
        </is>
      </c>
      <c r="G1092" s="1" t="inlineStr">
        <is>
          <t>Власов П.В., Власова О.</t>
        </is>
      </c>
      <c r="H1092" s="1" t="inlineStr">
        <is>
          <t>70х90/16</t>
        </is>
      </c>
      <c r="I1092" s="1" t="n">
        <v>208</v>
      </c>
      <c r="J1092" s="1" t="inlineStr">
        <is>
          <t>РИПОЛ Классик</t>
        </is>
      </c>
      <c r="M1092" s="1" t="inlineStr">
        <is>
          <t>2020</t>
        </is>
      </c>
      <c r="N1092" s="1" t="inlineStr">
        <is>
          <t>П</t>
        </is>
      </c>
      <c r="O1092" s="9" t="n">
        <v>18</v>
      </c>
      <c r="P1092" s="1">
        <f>ROUNDUP(927.3*(1-$F$3),2)</f>
        <v/>
      </c>
      <c r="Q1092" s="1" t="inlineStr">
        <is>
          <t> </t>
        </is>
      </c>
      <c r="R1092" s="1" t="inlineStr">
        <is>
          <t>978-5-386-10258-6</t>
        </is>
      </c>
      <c r="S1092" s="1" t="inlineStr">
        <is>
          <t>9785386102586</t>
        </is>
      </c>
      <c r="T1092" s="9" t="n">
        <v>10</v>
      </c>
      <c r="U1092" s="1">
        <f>ROUNDUP(843*(1-$F$3),2)</f>
        <v/>
      </c>
      <c r="V1092" s="1" t="n">
        <v>409</v>
      </c>
      <c r="Y1092" s="1" t="inlineStr">
        <is>
          <t>Сказка о потерянной осени</t>
        </is>
      </c>
      <c r="Z1092" s="1" t="inlineStr">
        <is>
          <t>12+</t>
        </is>
      </c>
      <c r="AA1092" s="12" t="n">
        <v>43008</v>
      </c>
      <c r="AB1092" s="1" t="inlineStr">
        <is>
          <t>Детская литература</t>
        </is>
      </c>
      <c r="AC1092" s="1" t="inlineStr">
        <is>
          <t>Художественная литература</t>
        </is>
      </c>
      <c r="AD1092" s="1" t="inlineStr">
        <is>
          <t>Литературная сказка</t>
        </is>
      </c>
      <c r="AE1092" s="1" t="inlineStr">
        <is>
          <t>офсетная</t>
        </is>
      </c>
      <c r="AG1092" s="1" t="n">
        <v>8280680</v>
      </c>
      <c r="AI1092" s="1" t="inlineStr">
        <is>
          <t>4901990000</t>
        </is>
      </c>
    </row>
    <row r="1093" customFormat="1" s="1">
      <c r="C1093" s="1" t="inlineStr">
        <is>
          <t xml:space="preserve">9114190             </t>
        </is>
      </c>
      <c r="D1093" s="1" t="inlineStr">
        <is>
          <t>Феноменология: Современные переводы</t>
        </is>
      </c>
      <c r="E1093" s="1" t="inlineStr">
        <is>
          <t>Феноменология поэзии. Ч. 3. Рикер П., Гадамер Х.-Г.</t>
        </is>
      </c>
      <c r="F1093" s="13" t="inlineStr">
        <is>
          <t>См.обл.</t>
        </is>
      </c>
      <c r="G1093" s="1" t="inlineStr">
        <is>
          <t>Рикер П., Гадамер Х.-Г.</t>
        </is>
      </c>
      <c r="H1093" s="1" t="inlineStr">
        <is>
          <t>84х108/32</t>
        </is>
      </c>
      <c r="I1093" s="1" t="n">
        <v>353</v>
      </c>
      <c r="J1093" s="1" t="inlineStr">
        <is>
          <t>РИПОЛ Классик</t>
        </is>
      </c>
      <c r="K1093" s="1" t="inlineStr">
        <is>
          <t>Панглосс</t>
        </is>
      </c>
      <c r="M1093" s="1" t="inlineStr">
        <is>
          <t>2019</t>
        </is>
      </c>
      <c r="N1093" s="1" t="inlineStr">
        <is>
          <t>О</t>
        </is>
      </c>
      <c r="O1093" s="9" t="n">
        <v>10</v>
      </c>
      <c r="P1093" s="1">
        <f>ROUNDUP(880*(1-$F$3),2)</f>
        <v/>
      </c>
      <c r="Q1093" s="1" t="inlineStr">
        <is>
          <t> </t>
        </is>
      </c>
      <c r="R1093" s="1" t="inlineStr">
        <is>
          <t>978-5-386-12795-4</t>
        </is>
      </c>
      <c r="S1093" s="1" t="inlineStr">
        <is>
          <t>9785386127954</t>
        </is>
      </c>
      <c r="T1093" s="9" t="n">
        <v>10</v>
      </c>
      <c r="U1093" s="1">
        <f>ROUNDUP(800*(1-$F$3),2)</f>
        <v/>
      </c>
      <c r="V1093" s="1" t="n">
        <v>316</v>
      </c>
      <c r="Y1093" s="1" t="inlineStr">
        <is>
          <t>Феноменология поэзии. Ч. 3</t>
        </is>
      </c>
      <c r="Z1093" s="1" t="inlineStr">
        <is>
          <t>12+</t>
        </is>
      </c>
      <c r="AA1093" s="12" t="n">
        <v>43693</v>
      </c>
      <c r="AB1093" s="1" t="inlineStr">
        <is>
          <t>Гуманитарные науки</t>
        </is>
      </c>
      <c r="AC1093" s="1" t="inlineStr">
        <is>
          <t>Философские науки</t>
        </is>
      </c>
      <c r="AD1093" s="1" t="inlineStr">
        <is>
          <t>История философии. Античная философия</t>
        </is>
      </c>
      <c r="AE1093" s="1" t="inlineStr">
        <is>
          <t>офсетная</t>
        </is>
      </c>
      <c r="AG1093" s="1" t="n">
        <v>9114190</v>
      </c>
      <c r="AI1093" s="1" t="inlineStr">
        <is>
          <t>4901990000</t>
        </is>
      </c>
    </row>
    <row r="1094" customFormat="1" s="1">
      <c r="C1094" s="1" t="inlineStr">
        <is>
          <t xml:space="preserve">9490510             </t>
        </is>
      </c>
      <c r="D1094" s="1" t="inlineStr">
        <is>
          <t>Фигуры Философии</t>
        </is>
      </c>
      <c r="E1094" s="1" t="inlineStr">
        <is>
          <t>К критике политической экономии знака. Бодрийяр Ж.</t>
        </is>
      </c>
      <c r="F1094" s="13" t="inlineStr">
        <is>
          <t>См.обл.</t>
        </is>
      </c>
      <c r="G1094" s="1" t="inlineStr">
        <is>
          <t>Бодрийяр Ж.</t>
        </is>
      </c>
      <c r="H1094" s="1" t="inlineStr">
        <is>
          <t>84х108/32</t>
        </is>
      </c>
      <c r="I1094" s="1" t="n">
        <v>352</v>
      </c>
      <c r="J1094" s="1" t="inlineStr">
        <is>
          <t>РИПОЛ Классик</t>
        </is>
      </c>
      <c r="M1094" s="1" t="inlineStr">
        <is>
          <t>2025</t>
        </is>
      </c>
      <c r="N1094" s="1" t="inlineStr">
        <is>
          <t>П</t>
        </is>
      </c>
      <c r="O1094" s="9" t="n">
        <v>10</v>
      </c>
      <c r="P1094" s="1">
        <f>ROUNDUP(1040*(1-$F$3),2)</f>
        <v/>
      </c>
      <c r="Q1094" s="1" t="inlineStr">
        <is>
          <t> </t>
        </is>
      </c>
      <c r="R1094" s="1" t="inlineStr">
        <is>
          <t>978-5-386-13775-5</t>
        </is>
      </c>
      <c r="S1094" s="1" t="inlineStr">
        <is>
          <t>9785386137755</t>
        </is>
      </c>
      <c r="T1094" s="9" t="n">
        <v>10</v>
      </c>
      <c r="U1094" s="1">
        <f>ROUNDUP(945.45*(1-$F$3),2)</f>
        <v/>
      </c>
      <c r="V1094" s="1" t="n">
        <v>354</v>
      </c>
      <c r="Y1094" s="1" t="inlineStr">
        <is>
          <t>К критике политической экономии знака</t>
        </is>
      </c>
      <c r="Z1094" s="1" t="inlineStr">
        <is>
          <t>16+</t>
        </is>
      </c>
      <c r="AA1094" s="12" t="n">
        <v>44096</v>
      </c>
      <c r="AB1094" s="1" t="inlineStr">
        <is>
          <t>Гуманитарные науки</t>
        </is>
      </c>
      <c r="AC1094" s="1" t="inlineStr">
        <is>
          <t>Философские науки</t>
        </is>
      </c>
      <c r="AD1094" s="1" t="inlineStr">
        <is>
          <t>Политическая философия</t>
        </is>
      </c>
      <c r="AE1094" s="1" t="inlineStr">
        <is>
          <t>офсетная</t>
        </is>
      </c>
      <c r="AG1094" s="1" t="n">
        <v>9490510</v>
      </c>
      <c r="AI1094" s="1" t="inlineStr">
        <is>
          <t>4901990000</t>
        </is>
      </c>
    </row>
    <row r="1095" customFormat="1" s="1">
      <c r="C1095" s="1" t="inlineStr">
        <is>
          <t xml:space="preserve">9521750             </t>
        </is>
      </c>
      <c r="D1095" s="1" t="inlineStr">
        <is>
          <t>Фигуры Философии</t>
        </is>
      </c>
      <c r="E1095" s="1" t="inlineStr">
        <is>
          <t>Мишель Фуко в Долине Смерти. Как великий французский философ триповал в Калифорнии. Уэйд С.</t>
        </is>
      </c>
      <c r="F1095" s="13" t="inlineStr">
        <is>
          <t>См.обл.</t>
        </is>
      </c>
      <c r="G1095" s="1" t="inlineStr">
        <is>
          <t>Уэйд С.</t>
        </is>
      </c>
      <c r="H1095" s="1" t="inlineStr">
        <is>
          <t>84х108/32</t>
        </is>
      </c>
      <c r="I1095" s="1" t="n">
        <v>192</v>
      </c>
      <c r="J1095" s="1" t="inlineStr">
        <is>
          <t>РИПОЛ Классик</t>
        </is>
      </c>
      <c r="M1095" s="1" t="inlineStr">
        <is>
          <t>2024</t>
        </is>
      </c>
      <c r="N1095" s="1" t="inlineStr">
        <is>
          <t>П</t>
        </is>
      </c>
      <c r="O1095" s="9" t="n">
        <v>16</v>
      </c>
      <c r="P1095" s="1">
        <f>ROUNDUP(927.3*(1-$F$3),2)</f>
        <v/>
      </c>
      <c r="Q1095" s="1" t="inlineStr">
        <is>
          <t> </t>
        </is>
      </c>
      <c r="R1095" s="1" t="inlineStr">
        <is>
          <t>978-5-386-13819-6</t>
        </is>
      </c>
      <c r="S1095" s="1" t="inlineStr">
        <is>
          <t>9785386138196</t>
        </is>
      </c>
      <c r="T1095" s="9" t="n">
        <v>10</v>
      </c>
      <c r="U1095" s="1">
        <f>ROUNDUP(843*(1-$F$3),2)</f>
        <v/>
      </c>
      <c r="V1095" s="1" t="n">
        <v>297</v>
      </c>
      <c r="Y1095" s="1" t="inlineStr">
        <is>
          <t>Мишель Фуко в Долине Смерти. Как великий французский философ триповал в Калифорнии</t>
        </is>
      </c>
      <c r="Z1095" s="1" t="inlineStr">
        <is>
          <t>18+</t>
        </is>
      </c>
      <c r="AA1095" s="12" t="n">
        <v>44129</v>
      </c>
      <c r="AB1095" s="1" t="inlineStr">
        <is>
          <t>Художественная литература</t>
        </is>
      </c>
      <c r="AC1095" s="1" t="inlineStr">
        <is>
          <t>Зарубежная литература</t>
        </is>
      </c>
      <c r="AD1095" s="1" t="inlineStr">
        <is>
          <t>Европейская литература</t>
        </is>
      </c>
      <c r="AE1095" s="1" t="inlineStr">
        <is>
          <t>офсетная</t>
        </is>
      </c>
      <c r="AG1095" s="1" t="n">
        <v>9521750</v>
      </c>
      <c r="AI1095" s="1" t="inlineStr">
        <is>
          <t>4901990000</t>
        </is>
      </c>
    </row>
    <row r="1096" customFormat="1" s="1">
      <c r="C1096" s="1" t="inlineStr">
        <is>
          <t xml:space="preserve">9633490             </t>
        </is>
      </c>
      <c r="D1096" s="1" t="inlineStr">
        <is>
          <t>Фигуры Философии</t>
        </is>
      </c>
      <c r="E1096" s="1" t="inlineStr">
        <is>
          <t>Наркокапитализм. Жизнь в эпоху анестезии. Суттер Л. де</t>
        </is>
      </c>
      <c r="F1096" s="13" t="inlineStr">
        <is>
          <t>См.обл.</t>
        </is>
      </c>
      <c r="G1096" s="1" t="inlineStr">
        <is>
          <t>Суттер Л. де</t>
        </is>
      </c>
      <c r="H1096" s="1" t="inlineStr">
        <is>
          <t>84х108/32</t>
        </is>
      </c>
      <c r="I1096" s="1" t="n">
        <v>208</v>
      </c>
      <c r="J1096" s="1" t="inlineStr">
        <is>
          <t>РИПОЛ Классик</t>
        </is>
      </c>
      <c r="M1096" s="1" t="inlineStr">
        <is>
          <t>2021</t>
        </is>
      </c>
      <c r="N1096" s="1" t="inlineStr">
        <is>
          <t>П</t>
        </is>
      </c>
      <c r="O1096" s="9" t="n">
        <v>16</v>
      </c>
      <c r="P1096" s="1">
        <f>ROUNDUP(990*(1-$F$3),2)</f>
        <v/>
      </c>
      <c r="Q1096" s="1" t="inlineStr">
        <is>
          <t> </t>
        </is>
      </c>
      <c r="R1096" s="1" t="inlineStr">
        <is>
          <t>978-5-386-14006-9</t>
        </is>
      </c>
      <c r="S1096" s="1" t="inlineStr">
        <is>
          <t>9785386140069</t>
        </is>
      </c>
      <c r="T1096" s="9" t="n">
        <v>10</v>
      </c>
      <c r="U1096" s="1">
        <f>ROUNDUP(900*(1-$F$3),2)</f>
        <v/>
      </c>
      <c r="V1096" s="1" t="n">
        <v>264</v>
      </c>
      <c r="Y1096" s="1" t="inlineStr">
        <is>
          <t>Наркокапитализм. Жизнь в эпоху анестезии</t>
        </is>
      </c>
      <c r="Z1096" s="1" t="inlineStr">
        <is>
          <t>16+</t>
        </is>
      </c>
      <c r="AA1096" s="12" t="n">
        <v>44251</v>
      </c>
      <c r="AB1096" s="1" t="inlineStr">
        <is>
          <t>Общественные науки</t>
        </is>
      </c>
      <c r="AC1096" s="1" t="inlineStr">
        <is>
          <t>Обществознание. Социология. Демография.</t>
        </is>
      </c>
      <c r="AD1096" s="1" t="inlineStr">
        <is>
          <t>Общая социология</t>
        </is>
      </c>
      <c r="AE1096" s="1" t="inlineStr">
        <is>
          <t>офсетная</t>
        </is>
      </c>
      <c r="AG1096" s="1" t="n">
        <v>9633490</v>
      </c>
      <c r="AI1096" s="1" t="inlineStr">
        <is>
          <t>4901990000</t>
        </is>
      </c>
      <c r="AJ1096" s="1" t="inlineStr">
        <is>
          <t>Зпв</t>
        </is>
      </c>
    </row>
    <row r="1097" customFormat="1" s="1">
      <c r="C1097" s="1" t="inlineStr">
        <is>
          <t xml:space="preserve">10497780            </t>
        </is>
      </c>
      <c r="D1097" s="1" t="inlineStr">
        <is>
          <t>Фигуры Философии</t>
        </is>
      </c>
      <c r="E1097" s="1" t="inlineStr">
        <is>
          <t>Современный нигилизм. Хроника. Эспозито К.</t>
        </is>
      </c>
      <c r="F1097" s="13" t="inlineStr">
        <is>
          <t>См.обл.</t>
        </is>
      </c>
      <c r="G1097" s="1" t="inlineStr">
        <is>
          <t>Эспозито К.</t>
        </is>
      </c>
      <c r="H1097" s="1" t="inlineStr">
        <is>
          <t>60х84/16</t>
        </is>
      </c>
      <c r="I1097" s="1" t="n">
        <v>240</v>
      </c>
      <c r="J1097" s="1" t="inlineStr">
        <is>
          <t>РИПОЛ Классик</t>
        </is>
      </c>
      <c r="M1097" s="1" t="inlineStr">
        <is>
          <t>2022</t>
        </is>
      </c>
      <c r="N1097" s="1" t="inlineStr">
        <is>
          <t>О</t>
        </is>
      </c>
      <c r="O1097" s="9" t="n">
        <v>10</v>
      </c>
      <c r="P1097" s="1">
        <f>ROUNDUP(890*(1-$F$3),2)</f>
        <v/>
      </c>
      <c r="Q1097" s="1" t="inlineStr">
        <is>
          <t> </t>
        </is>
      </c>
      <c r="R1097" s="1" t="inlineStr">
        <is>
          <t>978-5-386-14847-8</t>
        </is>
      </c>
      <c r="S1097" s="1" t="inlineStr">
        <is>
          <t>9785386148478</t>
        </is>
      </c>
      <c r="T1097" s="9" t="n">
        <v>10</v>
      </c>
      <c r="U1097" s="1">
        <f>ROUNDUP(809.09*(1-$F$3),2)</f>
        <v/>
      </c>
      <c r="V1097" s="1" t="n">
        <v>283</v>
      </c>
      <c r="Y1097" s="1" t="inlineStr">
        <is>
          <t>Современный нигилизм. Хроника</t>
        </is>
      </c>
      <c r="Z1097" s="1" t="inlineStr">
        <is>
          <t>16+</t>
        </is>
      </c>
      <c r="AA1097" s="12" t="n">
        <v>44785</v>
      </c>
      <c r="AB1097" s="1" t="inlineStr">
        <is>
          <t>Гуманитарные науки</t>
        </is>
      </c>
      <c r="AC1097" s="1" t="inlineStr">
        <is>
          <t>Философские науки</t>
        </is>
      </c>
      <c r="AD1097" s="1" t="inlineStr">
        <is>
          <t>Прикладная философия</t>
        </is>
      </c>
      <c r="AE1097" s="1" t="inlineStr">
        <is>
          <t>офсетная</t>
        </is>
      </c>
      <c r="AG1097" s="1" t="n">
        <v>10497780</v>
      </c>
      <c r="AI1097" s="1" t="inlineStr">
        <is>
          <t>4901990000</t>
        </is>
      </c>
    </row>
    <row r="1098" customFormat="1" s="1">
      <c r="C1098" s="1" t="inlineStr">
        <is>
          <t xml:space="preserve">8907490             </t>
        </is>
      </c>
      <c r="D1098" s="1" t="inlineStr">
        <is>
          <t>Фигуры Философии</t>
        </is>
      </c>
      <c r="E1098" s="1" t="inlineStr">
        <is>
          <t>Эго, или Наделенный собой. Марион Ж.-Л.</t>
        </is>
      </c>
      <c r="F1098" s="13" t="inlineStr">
        <is>
          <t>См.обл.</t>
        </is>
      </c>
      <c r="G1098" s="1" t="inlineStr">
        <is>
          <t>Марион Ж.-Л.</t>
        </is>
      </c>
      <c r="H1098" s="1" t="inlineStr">
        <is>
          <t>84х108/32</t>
        </is>
      </c>
      <c r="I1098" s="1" t="n">
        <v>159</v>
      </c>
      <c r="J1098" s="1" t="inlineStr">
        <is>
          <t>РИПОЛ Классик</t>
        </is>
      </c>
      <c r="K1098" s="1" t="inlineStr">
        <is>
          <t>Панглосс</t>
        </is>
      </c>
      <c r="M1098" s="1" t="inlineStr">
        <is>
          <t>2019</t>
        </is>
      </c>
      <c r="N1098" s="1" t="inlineStr">
        <is>
          <t>О</t>
        </is>
      </c>
      <c r="O1098" s="9" t="n">
        <v>28</v>
      </c>
      <c r="P1098" s="1">
        <f>ROUNDUP(1120*(1-$F$3),2)</f>
        <v/>
      </c>
      <c r="Q1098" s="1" t="inlineStr">
        <is>
          <t> </t>
        </is>
      </c>
      <c r="R1098" s="1" t="inlineStr">
        <is>
          <t>978-5-386-12300-0</t>
        </is>
      </c>
      <c r="S1098" s="1" t="inlineStr">
        <is>
          <t>9785386123000</t>
        </is>
      </c>
      <c r="T1098" s="9" t="n">
        <v>10</v>
      </c>
      <c r="U1098" s="1">
        <f>ROUNDUP(1018.18*(1-$F$3),2)</f>
        <v/>
      </c>
      <c r="V1098" s="1" t="n">
        <v>149</v>
      </c>
      <c r="Y1098" s="1" t="inlineStr">
        <is>
          <t>Эго, или Наделенный собой</t>
        </is>
      </c>
      <c r="Z1098" s="1" t="inlineStr">
        <is>
          <t>12+</t>
        </is>
      </c>
      <c r="AA1098" s="12" t="n">
        <v>43527</v>
      </c>
      <c r="AB1098" s="1" t="inlineStr">
        <is>
          <t>Гуманитарные науки</t>
        </is>
      </c>
      <c r="AC1098" s="1" t="inlineStr">
        <is>
          <t>Философские науки</t>
        </is>
      </c>
      <c r="AD1098" s="1" t="inlineStr">
        <is>
          <t>Философия в целом. Труды</t>
        </is>
      </c>
      <c r="AE1098" s="1" t="inlineStr">
        <is>
          <t>офсетная</t>
        </is>
      </c>
      <c r="AG1098" s="1" t="n">
        <v>8907490</v>
      </c>
      <c r="AI1098" s="1" t="inlineStr">
        <is>
          <t>4901990000</t>
        </is>
      </c>
    </row>
    <row r="1099" customFormat="1" s="1">
      <c r="C1099" s="1" t="inlineStr">
        <is>
          <t xml:space="preserve">11613220            </t>
        </is>
      </c>
      <c r="D1099" s="1" t="inlineStr">
        <is>
          <t>Фигуры философии 2.0</t>
        </is>
      </c>
      <c r="E1099" s="1" t="inlineStr">
        <is>
          <t>Анти-Эдип. Капитализм и Шизофрения. Т. 1. Делез Ж., Гваттари П.-Ф</t>
        </is>
      </c>
      <c r="F1099" s="13" t="inlineStr">
        <is>
          <t>См.обл.</t>
        </is>
      </c>
      <c r="G1099" s="1" t="inlineStr">
        <is>
          <t>Делез Ж., Гваттари П.-Ф</t>
        </is>
      </c>
      <c r="H1099" s="1" t="inlineStr">
        <is>
          <t>70х100/16</t>
        </is>
      </c>
      <c r="I1099" s="1" t="n">
        <v>512</v>
      </c>
      <c r="J1099" s="1" t="inlineStr">
        <is>
          <t>РИПОЛ Классик</t>
        </is>
      </c>
      <c r="M1099" s="1" t="inlineStr">
        <is>
          <t>2025</t>
        </is>
      </c>
      <c r="N1099" s="1" t="inlineStr">
        <is>
          <t>П</t>
        </is>
      </c>
      <c r="O1099" s="9" t="n">
        <v>5</v>
      </c>
      <c r="P1099" s="1">
        <f>ROUNDUP(2090*(1-$F$3),2)</f>
        <v/>
      </c>
      <c r="Q1099" s="1" t="inlineStr">
        <is>
          <t> </t>
        </is>
      </c>
      <c r="R1099" s="1" t="inlineStr">
        <is>
          <t>978-5-386-15183-6</t>
        </is>
      </c>
      <c r="S1099" s="1" t="inlineStr">
        <is>
          <t>9785386151836</t>
        </is>
      </c>
      <c r="T1099" s="9" t="n">
        <v>22</v>
      </c>
      <c r="U1099" s="1">
        <f>ROUNDUP(1713.11*(1-$F$3),2)</f>
        <v/>
      </c>
      <c r="V1099" s="1" t="n">
        <v>806</v>
      </c>
      <c r="Y1099" s="1" t="inlineStr">
        <is>
          <t>Анти-Эдип. Капитализм и Шизофрения. Т. 1</t>
        </is>
      </c>
      <c r="Z1099" s="1" t="inlineStr">
        <is>
          <t>18+</t>
        </is>
      </c>
      <c r="AA1099" s="12" t="n">
        <v>45694</v>
      </c>
      <c r="AB1099" s="1" t="inlineStr">
        <is>
          <t>Гуманитарные науки</t>
        </is>
      </c>
      <c r="AC1099" s="1" t="inlineStr">
        <is>
          <t>Философские науки</t>
        </is>
      </c>
      <c r="AD1099" s="1" t="inlineStr">
        <is>
          <t>Прикладная философия</t>
        </is>
      </c>
      <c r="AE1099" s="1" t="inlineStr">
        <is>
          <t>офсетная</t>
        </is>
      </c>
      <c r="AG1099" s="1" t="n">
        <v>11613220</v>
      </c>
      <c r="AI1099" s="1" t="inlineStr">
        <is>
          <t>4901990000</t>
        </is>
      </c>
    </row>
    <row r="1100" customFormat="1" s="1">
      <c r="C1100" s="1" t="inlineStr">
        <is>
          <t xml:space="preserve">11092870            </t>
        </is>
      </c>
      <c r="D1100" s="1" t="inlineStr">
        <is>
          <t>Фигуры философии 2.0</t>
        </is>
      </c>
      <c r="E1100" s="1" t="inlineStr">
        <is>
          <t>Желание психоанализа. Опыты лакановского мышления. Тупинамба Г.</t>
        </is>
      </c>
      <c r="F1100" s="13" t="inlineStr">
        <is>
          <t>См.обл.</t>
        </is>
      </c>
      <c r="G1100" s="1" t="inlineStr">
        <is>
          <t>Тупинамба Г.</t>
        </is>
      </c>
      <c r="H1100" s="1" t="inlineStr">
        <is>
          <t>60х90/16</t>
        </is>
      </c>
      <c r="I1100" s="1" t="n">
        <v>448</v>
      </c>
      <c r="J1100" s="1" t="inlineStr">
        <is>
          <t>РИПОЛ Классик</t>
        </is>
      </c>
      <c r="M1100" s="1" t="inlineStr">
        <is>
          <t>2024</t>
        </is>
      </c>
      <c r="N1100" s="1" t="inlineStr">
        <is>
          <t>П</t>
        </is>
      </c>
      <c r="O1100" s="9" t="n">
        <v>6</v>
      </c>
      <c r="P1100" s="1">
        <f>ROUNDUP(1230*(1-$F$3),2)</f>
        <v/>
      </c>
      <c r="Q1100" s="1" t="inlineStr">
        <is>
          <t> </t>
        </is>
      </c>
      <c r="R1100" s="1" t="inlineStr">
        <is>
          <t>978-5-386-14999-4</t>
        </is>
      </c>
      <c r="S1100" s="1" t="inlineStr">
        <is>
          <t>9785386149994</t>
        </is>
      </c>
      <c r="T1100" s="9" t="n">
        <v>10</v>
      </c>
      <c r="U1100" s="1">
        <f>ROUNDUP(1118.18*(1-$F$3),2)</f>
        <v/>
      </c>
      <c r="V1100" s="1" t="n">
        <v>519</v>
      </c>
      <c r="Y1100" s="1" t="inlineStr">
        <is>
          <t>Желание психоанализа. Опыты лакановского мышления</t>
        </is>
      </c>
      <c r="Z1100" s="1" t="inlineStr">
        <is>
          <t>16+</t>
        </is>
      </c>
      <c r="AA1100" s="12" t="n">
        <v>45230</v>
      </c>
      <c r="AB1100" s="1" t="inlineStr">
        <is>
          <t>Гуманитарные науки</t>
        </is>
      </c>
      <c r="AC1100" s="1" t="inlineStr">
        <is>
          <t>Психология</t>
        </is>
      </c>
      <c r="AD1100" s="1" t="inlineStr">
        <is>
          <t>Глубинная психология. Психоанализ</t>
        </is>
      </c>
      <c r="AE1100" s="1" t="inlineStr">
        <is>
          <t>офсетная</t>
        </is>
      </c>
      <c r="AG1100" s="1" t="n">
        <v>11092870</v>
      </c>
      <c r="AI1100" s="1" t="inlineStr">
        <is>
          <t>4901990000</t>
        </is>
      </c>
    </row>
    <row r="1101" customFormat="1" s="1">
      <c r="C1101" s="1" t="inlineStr">
        <is>
          <t xml:space="preserve">11613200            </t>
        </is>
      </c>
      <c r="D1101" s="1" t="inlineStr">
        <is>
          <t>Фигуры философии 2.0</t>
        </is>
      </c>
      <c r="E1101" s="1" t="inlineStr">
        <is>
          <t>Невозможность социализма. Левые идеи на службе у новых элит. Давыдов Д.А.</t>
        </is>
      </c>
      <c r="F1101" s="13" t="inlineStr">
        <is>
          <t>См.обл.</t>
        </is>
      </c>
      <c r="G1101" s="1" t="inlineStr">
        <is>
          <t>Давыдов Д.А.</t>
        </is>
      </c>
      <c r="H1101" s="1" t="inlineStr">
        <is>
          <t>84х108/32</t>
        </is>
      </c>
      <c r="I1101" s="1" t="n">
        <v>352</v>
      </c>
      <c r="J1101" s="1" t="inlineStr">
        <is>
          <t>РИПОЛ Классик</t>
        </is>
      </c>
      <c r="M1101" s="1" t="inlineStr">
        <is>
          <t>2025</t>
        </is>
      </c>
      <c r="N1101" s="1" t="inlineStr">
        <is>
          <t>П</t>
        </is>
      </c>
      <c r="O1101" s="9" t="n">
        <v>5</v>
      </c>
      <c r="P1101" s="1">
        <f>ROUNDUP(1160*(1-$F$3),2)</f>
        <v/>
      </c>
      <c r="Q1101" s="1" t="inlineStr">
        <is>
          <t> </t>
        </is>
      </c>
      <c r="R1101" s="1" t="inlineStr">
        <is>
          <t>978-5-386-15393-9</t>
        </is>
      </c>
      <c r="S1101" s="1" t="inlineStr">
        <is>
          <t>9785386153939</t>
        </is>
      </c>
      <c r="T1101" s="9" t="n">
        <v>10</v>
      </c>
      <c r="U1101" s="1">
        <f>ROUNDUP(1054.55*(1-$F$3),2)</f>
        <v/>
      </c>
      <c r="V1101" s="1" t="n">
        <v>392</v>
      </c>
      <c r="Y1101" s="1" t="inlineStr">
        <is>
          <t>Невозможность социализма. Левые идеи на службе у новых элит</t>
        </is>
      </c>
      <c r="Z1101" s="1" t="inlineStr">
        <is>
          <t>16+</t>
        </is>
      </c>
      <c r="AA1101" s="12" t="n">
        <v>45670</v>
      </c>
      <c r="AB1101" s="1" t="inlineStr">
        <is>
          <t>Гуманитарные науки</t>
        </is>
      </c>
      <c r="AC1101" s="1" t="inlineStr">
        <is>
          <t>Философские науки</t>
        </is>
      </c>
      <c r="AD1101" s="1" t="inlineStr">
        <is>
          <t>Политическая философия</t>
        </is>
      </c>
      <c r="AE1101" s="1" t="inlineStr">
        <is>
          <t>офсетная</t>
        </is>
      </c>
      <c r="AG1101" s="1" t="n">
        <v>11613200</v>
      </c>
      <c r="AI1101" s="1" t="inlineStr">
        <is>
          <t>4901990000</t>
        </is>
      </c>
      <c r="AJ1101" s="1" t="inlineStr">
        <is>
          <t>Зпв</t>
        </is>
      </c>
    </row>
    <row r="1102" customFormat="1" s="1">
      <c r="C1102" s="1" t="inlineStr">
        <is>
          <t xml:space="preserve">11844490            </t>
        </is>
      </c>
      <c r="D1102" s="1" t="inlineStr">
        <is>
          <t>Фигуры философии 2.0</t>
        </is>
      </c>
      <c r="E1102" s="1" t="inlineStr">
        <is>
          <t>Постчеловеческое, слишком постчеловеческое. Иванченко М.</t>
        </is>
      </c>
      <c r="F1102" s="13" t="inlineStr">
        <is>
          <t>См.обл.</t>
        </is>
      </c>
      <c r="G1102" s="1" t="inlineStr">
        <is>
          <t>Иванченко М.</t>
        </is>
      </c>
      <c r="H1102" s="1" t="inlineStr">
        <is>
          <t>84х108/32</t>
        </is>
      </c>
      <c r="I1102" s="1" t="n">
        <v>288</v>
      </c>
      <c r="J1102" s="1" t="inlineStr">
        <is>
          <t>РИПОЛ Классик</t>
        </is>
      </c>
      <c r="M1102" s="1" t="inlineStr">
        <is>
          <t>2025</t>
        </is>
      </c>
      <c r="N1102" s="1" t="inlineStr">
        <is>
          <t>П</t>
        </is>
      </c>
      <c r="O1102" s="9" t="n">
        <v>5</v>
      </c>
      <c r="P1102" s="1">
        <f>ROUNDUP(1040*(1-$F$3),2)</f>
        <v/>
      </c>
      <c r="Q1102" s="1" t="inlineStr">
        <is>
          <t> </t>
        </is>
      </c>
      <c r="R1102" s="1" t="inlineStr">
        <is>
          <t>978-5-386-15486-8</t>
        </is>
      </c>
      <c r="S1102" s="1" t="inlineStr">
        <is>
          <t>9785386154868</t>
        </is>
      </c>
      <c r="T1102" s="9" t="n">
        <v>10</v>
      </c>
      <c r="U1102" s="1">
        <f>ROUNDUP(945.45*(1-$F$3),2)</f>
        <v/>
      </c>
      <c r="V1102" s="1" t="n">
        <v>388</v>
      </c>
      <c r="Y1102" s="1" t="inlineStr">
        <is>
          <t>Постчеловеческое, слишком постчеловеческое</t>
        </is>
      </c>
      <c r="Z1102" s="1" t="inlineStr">
        <is>
          <t>16+</t>
        </is>
      </c>
      <c r="AA1102" s="12" t="n">
        <v>45888</v>
      </c>
      <c r="AB1102" s="1" t="inlineStr">
        <is>
          <t>Гуманитарные науки</t>
        </is>
      </c>
      <c r="AC1102" s="1" t="inlineStr">
        <is>
          <t>Философские науки</t>
        </is>
      </c>
      <c r="AD1102" s="1" t="inlineStr">
        <is>
          <t>Философия в целом. Труды</t>
        </is>
      </c>
      <c r="AE1102" s="1" t="inlineStr">
        <is>
          <t>офсетная</t>
        </is>
      </c>
      <c r="AG1102" s="1" t="n">
        <v>11844490</v>
      </c>
      <c r="AI1102" s="1" t="inlineStr">
        <is>
          <t>4901990000</t>
        </is>
      </c>
    </row>
    <row r="1103" customFormat="1" s="1">
      <c r="C1103" s="1" t="inlineStr">
        <is>
          <t xml:space="preserve">11613210            </t>
        </is>
      </c>
      <c r="D1103" s="1" t="inlineStr">
        <is>
          <t>Фигуры философии 2.0</t>
        </is>
      </c>
      <c r="E1103" s="1" t="inlineStr">
        <is>
          <t>Тысяча плато. Капитализм и Шизофрения. Т. 2. Делез Ж., Гваттари П.-Ф</t>
        </is>
      </c>
      <c r="F1103" s="13" t="inlineStr">
        <is>
          <t>См.обл.</t>
        </is>
      </c>
      <c r="G1103" s="1" t="inlineStr">
        <is>
          <t>Делез Ж., Гваттари П.-Ф</t>
        </is>
      </c>
      <c r="H1103" s="1" t="inlineStr">
        <is>
          <t>70х100/16</t>
        </is>
      </c>
      <c r="I1103" s="1" t="n">
        <v>768</v>
      </c>
      <c r="J1103" s="1" t="inlineStr">
        <is>
          <t>РИПОЛ Классик</t>
        </is>
      </c>
      <c r="M1103" s="1" t="inlineStr">
        <is>
          <t>2025</t>
        </is>
      </c>
      <c r="N1103" s="1" t="inlineStr">
        <is>
          <t>П</t>
        </is>
      </c>
      <c r="O1103" s="9" t="n">
        <v>3</v>
      </c>
      <c r="P1103" s="1">
        <f>ROUNDUP(2090*(1-$F$3),2)</f>
        <v/>
      </c>
      <c r="Q1103" s="1" t="inlineStr">
        <is>
          <t> </t>
        </is>
      </c>
      <c r="R1103" s="1" t="inlineStr">
        <is>
          <t>978-5-386-15310-6</t>
        </is>
      </c>
      <c r="S1103" s="1" t="inlineStr">
        <is>
          <t>9785386153106</t>
        </is>
      </c>
      <c r="T1103" s="9" t="n">
        <v>22</v>
      </c>
      <c r="U1103" s="1">
        <f>ROUNDUP(1713.11*(1-$F$3),2)</f>
        <v/>
      </c>
      <c r="V1103" s="1" t="n">
        <v>1129</v>
      </c>
      <c r="Y1103" s="1" t="inlineStr">
        <is>
          <t>Тысяча плато. Капитализм и Шизофрения. Т. 2</t>
        </is>
      </c>
      <c r="Z1103" s="1" t="inlineStr">
        <is>
          <t>18+</t>
        </is>
      </c>
      <c r="AA1103" s="12" t="n">
        <v>45694</v>
      </c>
      <c r="AB1103" s="1" t="inlineStr">
        <is>
          <t>Гуманитарные науки</t>
        </is>
      </c>
      <c r="AC1103" s="1" t="inlineStr">
        <is>
          <t>Философские науки</t>
        </is>
      </c>
      <c r="AD1103" s="1" t="inlineStr">
        <is>
          <t>Прикладная философия</t>
        </is>
      </c>
      <c r="AE1103" s="1" t="inlineStr">
        <is>
          <t>офсетная</t>
        </is>
      </c>
      <c r="AG1103" s="1" t="n">
        <v>11613210</v>
      </c>
      <c r="AI1103" s="1" t="inlineStr">
        <is>
          <t>4901990000</t>
        </is>
      </c>
    </row>
    <row r="1104" customFormat="1" s="1">
      <c r="C1104" s="1" t="inlineStr">
        <is>
          <t xml:space="preserve">12137180            </t>
        </is>
      </c>
      <c r="D1104" s="1" t="inlineStr">
        <is>
          <t>Фигуры философии 2.0</t>
        </is>
      </c>
      <c r="E1104" s="1" t="inlineStr">
        <is>
          <t>Философские анекдоты. Словарь современной культуры. Строева О.В.</t>
        </is>
      </c>
      <c r="F1104" s="13" t="inlineStr">
        <is>
          <t>См.обл.</t>
        </is>
      </c>
      <c r="G1104" s="1" t="inlineStr">
        <is>
          <t>Строева О.В.</t>
        </is>
      </c>
      <c r="H1104" s="1" t="inlineStr">
        <is>
          <t>60х90/16</t>
        </is>
      </c>
      <c r="I1104" s="1" t="n">
        <v>320</v>
      </c>
      <c r="J1104" s="1" t="inlineStr">
        <is>
          <t>РИПОЛ Классик</t>
        </is>
      </c>
      <c r="M1104" s="1" t="inlineStr">
        <is>
          <t>2026</t>
        </is>
      </c>
      <c r="N1104" s="1" t="inlineStr">
        <is>
          <t>П</t>
        </is>
      </c>
      <c r="O1104" s="9" t="n">
        <v>8</v>
      </c>
      <c r="P1104" s="1">
        <f>ROUNDUP(1100*(1-$F$3),2)</f>
        <v/>
      </c>
      <c r="Q1104" s="1" t="inlineStr">
        <is>
          <t> </t>
        </is>
      </c>
      <c r="R1104" s="1" t="inlineStr">
        <is>
          <t>978-5-386-15552-0</t>
        </is>
      </c>
      <c r="S1104" s="1" t="inlineStr">
        <is>
          <t>9785386155520</t>
        </is>
      </c>
      <c r="T1104" s="9" t="n">
        <v>10</v>
      </c>
      <c r="U1104" s="1">
        <f>ROUNDUP(1000*(1-$F$3),2)</f>
        <v/>
      </c>
      <c r="V1104" s="1" t="n">
        <v>478</v>
      </c>
      <c r="Y1104" s="1" t="inlineStr">
        <is>
          <t>Философские анекдоты. Словарь современной культуры</t>
        </is>
      </c>
      <c r="Z1104" s="1" t="inlineStr">
        <is>
          <t>16+</t>
        </is>
      </c>
      <c r="AA1104" s="12" t="n">
        <v>46168</v>
      </c>
      <c r="AB1104" s="1" t="inlineStr">
        <is>
          <t>Гуманитарные науки</t>
        </is>
      </c>
      <c r="AC1104" s="1" t="inlineStr">
        <is>
          <t>Культура. Культурология</t>
        </is>
      </c>
      <c r="AD1104" s="1" t="inlineStr">
        <is>
          <t>Культурология</t>
        </is>
      </c>
      <c r="AE1104" s="1" t="inlineStr">
        <is>
          <t>офсетная</t>
        </is>
      </c>
      <c r="AG1104" s="1" t="n">
        <v>12137180</v>
      </c>
      <c r="AI1104" s="1" t="inlineStr">
        <is>
          <t>4901910000</t>
        </is>
      </c>
    </row>
    <row r="1105" customFormat="1" s="1">
      <c r="C1105" s="1" t="inlineStr">
        <is>
          <t xml:space="preserve">11339120            </t>
        </is>
      </c>
      <c r="D1105" s="1" t="inlineStr">
        <is>
          <t>Цветная империя</t>
        </is>
      </c>
      <c r="E1105" s="1" t="inlineStr">
        <is>
          <t>Европа глазами Прокудина-Горского. Прокудин-Горский С.М., Лобанков К</t>
        </is>
      </c>
      <c r="F1105" s="13" t="inlineStr">
        <is>
          <t>См.обл.</t>
        </is>
      </c>
      <c r="G1105" s="1" t="inlineStr">
        <is>
          <t>Прокудин-Горский С.М., Лобанков К</t>
        </is>
      </c>
      <c r="H1105" s="1" t="inlineStr">
        <is>
          <t>70х100/16</t>
        </is>
      </c>
      <c r="I1105" s="1" t="n">
        <v>160</v>
      </c>
      <c r="J1105" s="1" t="inlineStr">
        <is>
          <t>РИПОЛ Классик</t>
        </is>
      </c>
      <c r="M1105" s="1" t="inlineStr">
        <is>
          <t>2024</t>
        </is>
      </c>
      <c r="N1105" s="1" t="inlineStr">
        <is>
          <t>П</t>
        </is>
      </c>
      <c r="O1105" s="9" t="n">
        <v>8</v>
      </c>
      <c r="P1105" s="1">
        <f>ROUNDUP(1590*(1-$F$3),2)</f>
        <v/>
      </c>
      <c r="Q1105" s="1" t="inlineStr">
        <is>
          <t> </t>
        </is>
      </c>
      <c r="R1105" s="1" t="inlineStr">
        <is>
          <t>978-5-386-15205-5</t>
        </is>
      </c>
      <c r="S1105" s="1" t="inlineStr">
        <is>
          <t>9785386152055</t>
        </is>
      </c>
      <c r="T1105" s="9" t="n">
        <v>10</v>
      </c>
      <c r="U1105" s="1">
        <f>ROUNDUP(1445.45*(1-$F$3),2)</f>
        <v/>
      </c>
      <c r="V1105" s="1" t="n">
        <v>467</v>
      </c>
      <c r="Y1105" s="1" t="inlineStr">
        <is>
          <t>Европа глазами Прокудина-Горского</t>
        </is>
      </c>
      <c r="Z1105" s="1" t="inlineStr">
        <is>
          <t>12+</t>
        </is>
      </c>
      <c r="AA1105" s="12" t="n">
        <v>45483</v>
      </c>
      <c r="AB1105" s="1" t="inlineStr">
        <is>
          <t>Искусство</t>
        </is>
      </c>
      <c r="AC1105" s="1" t="inlineStr">
        <is>
          <t>Изобразительное искусство. Архитектура</t>
        </is>
      </c>
      <c r="AD1105" s="1" t="inlineStr">
        <is>
          <t>Художественная фотография</t>
        </is>
      </c>
      <c r="AE1105" s="1" t="inlineStr">
        <is>
          <t>офсетная</t>
        </is>
      </c>
      <c r="AG1105" s="1" t="n">
        <v>11339120</v>
      </c>
      <c r="AI1105" s="1" t="inlineStr">
        <is>
          <t>4901990000</t>
        </is>
      </c>
    </row>
    <row r="1106" customFormat="1" s="1">
      <c r="C1106" s="1" t="inlineStr">
        <is>
          <t xml:space="preserve">10945380            </t>
        </is>
      </c>
      <c r="D1106" s="1" t="inlineStr">
        <is>
          <t>Цветная империя</t>
        </is>
      </c>
      <c r="E1106" s="1" t="inlineStr">
        <is>
          <t>Из Европы в Азию. Прокудин-Горский С.М</t>
        </is>
      </c>
      <c r="F1106" s="13" t="inlineStr">
        <is>
          <t>См.обл.</t>
        </is>
      </c>
      <c r="G1106" s="1" t="inlineStr">
        <is>
          <t>Прокудин-Горский С.М</t>
        </is>
      </c>
      <c r="H1106" s="1" t="inlineStr">
        <is>
          <t>70х100/16</t>
        </is>
      </c>
      <c r="I1106" s="1" t="n">
        <v>272</v>
      </c>
      <c r="J1106" s="1" t="inlineStr">
        <is>
          <t>РИПОЛ Классик</t>
        </is>
      </c>
      <c r="M1106" s="1" t="inlineStr">
        <is>
          <t>2023</t>
        </is>
      </c>
      <c r="N1106" s="1" t="inlineStr">
        <is>
          <t>П</t>
        </is>
      </c>
      <c r="O1106" s="9" t="n">
        <v>8</v>
      </c>
      <c r="P1106" s="1">
        <f>ROUNDUP(2100*(1-$F$3),2)</f>
        <v/>
      </c>
      <c r="Q1106" s="1" t="inlineStr">
        <is>
          <t> </t>
        </is>
      </c>
      <c r="R1106" s="1" t="inlineStr">
        <is>
          <t>978-5-386-15007-5</t>
        </is>
      </c>
      <c r="S1106" s="1" t="inlineStr">
        <is>
          <t>9785386150075</t>
        </is>
      </c>
      <c r="T1106" s="9" t="n">
        <v>10</v>
      </c>
      <c r="U1106" s="1">
        <f>ROUNDUP(1909.09*(1-$F$3),2)</f>
        <v/>
      </c>
      <c r="V1106" s="1" t="n">
        <v>781</v>
      </c>
      <c r="Y1106" s="1" t="inlineStr">
        <is>
          <t>Из Европы в Азию</t>
        </is>
      </c>
      <c r="Z1106" s="1" t="inlineStr">
        <is>
          <t>12+</t>
        </is>
      </c>
      <c r="AA1106" s="12" t="n">
        <v>45115</v>
      </c>
      <c r="AB1106" s="1" t="inlineStr">
        <is>
          <t>Искусство</t>
        </is>
      </c>
      <c r="AC1106" s="1" t="inlineStr">
        <is>
          <t>Изобразительное искусство. Архитектура</t>
        </is>
      </c>
      <c r="AD1106" s="1" t="inlineStr">
        <is>
          <t>Художественная фотография</t>
        </is>
      </c>
      <c r="AE1106" s="1" t="inlineStr">
        <is>
          <t>мелованная</t>
        </is>
      </c>
      <c r="AG1106" s="1" t="n">
        <v>10945380</v>
      </c>
      <c r="AI1106" s="1" t="inlineStr">
        <is>
          <t>4901990000</t>
        </is>
      </c>
    </row>
    <row r="1107" customFormat="1" s="1">
      <c r="C1107" s="1" t="inlineStr">
        <is>
          <t xml:space="preserve">11213370            </t>
        </is>
      </c>
      <c r="D1107" s="1" t="inlineStr">
        <is>
          <t>Цветная империя</t>
        </is>
      </c>
      <c r="E1107" s="1" t="inlineStr">
        <is>
          <t>Лица империи. Прокудин-Горский С.М., Галаганова Л.</t>
        </is>
      </c>
      <c r="F1107" s="13" t="inlineStr">
        <is>
          <t>См.обл.</t>
        </is>
      </c>
      <c r="G1107" s="1" t="inlineStr">
        <is>
          <t>Прокудин-Горский С.М., Галаганова Л.</t>
        </is>
      </c>
      <c r="H1107" s="1" t="inlineStr">
        <is>
          <t>70х100/16</t>
        </is>
      </c>
      <c r="I1107" s="1" t="n">
        <v>192</v>
      </c>
      <c r="J1107" s="1" t="inlineStr">
        <is>
          <t>РИПОЛ Классик</t>
        </is>
      </c>
      <c r="M1107" s="1" t="inlineStr">
        <is>
          <t>2026</t>
        </is>
      </c>
      <c r="N1107" s="1" t="inlineStr">
        <is>
          <t>П</t>
        </is>
      </c>
      <c r="O1107" s="9" t="n">
        <v>16</v>
      </c>
      <c r="P1107" s="1">
        <f>ROUNDUP(2350*(1-$F$3),2)</f>
        <v/>
      </c>
      <c r="Q1107" s="1" t="inlineStr">
        <is>
          <t> </t>
        </is>
      </c>
      <c r="R1107" s="1" t="inlineStr">
        <is>
          <t>978-5-386-15134-8</t>
        </is>
      </c>
      <c r="S1107" s="1" t="inlineStr">
        <is>
          <t>9785386151348</t>
        </is>
      </c>
      <c r="T1107" s="9" t="n">
        <v>10</v>
      </c>
      <c r="U1107" s="1">
        <f>ROUNDUP(2136.36*(1-$F$3),2)</f>
        <v/>
      </c>
      <c r="V1107" s="1" t="n">
        <v>522</v>
      </c>
      <c r="Y1107" s="1" t="inlineStr">
        <is>
          <t>Лица империи</t>
        </is>
      </c>
      <c r="Z1107" s="1" t="inlineStr">
        <is>
          <t>12+</t>
        </is>
      </c>
      <c r="AA1107" s="12" t="n">
        <v>45351</v>
      </c>
      <c r="AB1107" s="1" t="inlineStr">
        <is>
          <t>Искусство</t>
        </is>
      </c>
      <c r="AC1107" s="1" t="inlineStr">
        <is>
          <t>Изобразительное искусство. Архитектура</t>
        </is>
      </c>
      <c r="AD1107" s="1" t="inlineStr">
        <is>
          <t>Художественная фотография</t>
        </is>
      </c>
      <c r="AE1107" s="1" t="inlineStr">
        <is>
          <t>офсетная</t>
        </is>
      </c>
      <c r="AG1107" s="1" t="n">
        <v>11213370</v>
      </c>
      <c r="AI1107" s="1" t="inlineStr">
        <is>
          <t>4901990000</t>
        </is>
      </c>
    </row>
    <row r="1108" customFormat="1" s="1">
      <c r="C1108" s="1" t="inlineStr">
        <is>
          <t xml:space="preserve">11264620            </t>
        </is>
      </c>
      <c r="D1108" s="1" t="inlineStr">
        <is>
          <t>Цветная империя</t>
        </is>
      </c>
      <c r="E1108" s="1" t="inlineStr">
        <is>
          <t>Монохромная Россия: фотограф Сергей Михайлович Прокудин-Горский. Прокудин-Горский С.М</t>
        </is>
      </c>
      <c r="F1108" s="13" t="inlineStr">
        <is>
          <t>См.обл.</t>
        </is>
      </c>
      <c r="G1108" s="1" t="inlineStr">
        <is>
          <t>Прокудин-Горский С.М</t>
        </is>
      </c>
      <c r="H1108" s="1" t="inlineStr">
        <is>
          <t>70х100/16</t>
        </is>
      </c>
      <c r="I1108" s="1" t="n">
        <v>256</v>
      </c>
      <c r="J1108" s="1" t="inlineStr">
        <is>
          <t>РИПОЛ Классик</t>
        </is>
      </c>
      <c r="M1108" s="1" t="inlineStr">
        <is>
          <t>2024</t>
        </is>
      </c>
      <c r="N1108" s="1" t="inlineStr">
        <is>
          <t>П</t>
        </is>
      </c>
      <c r="O1108" s="9" t="n">
        <v>6</v>
      </c>
      <c r="P1108" s="1">
        <f>ROUNDUP(1930*(1-$F$3),2)</f>
        <v/>
      </c>
      <c r="Q1108" s="1" t="inlineStr">
        <is>
          <t> </t>
        </is>
      </c>
      <c r="R1108" s="1" t="inlineStr">
        <is>
          <t>978-5-386-15180-5</t>
        </is>
      </c>
      <c r="S1108" s="1" t="inlineStr">
        <is>
          <t>9785386151805</t>
        </is>
      </c>
      <c r="T1108" s="9" t="n">
        <v>10</v>
      </c>
      <c r="U1108" s="1">
        <f>ROUNDUP(1754.55*(1-$F$3),2)</f>
        <v/>
      </c>
      <c r="V1108" s="1" t="n">
        <v>729</v>
      </c>
      <c r="Y1108" s="1" t="inlineStr">
        <is>
          <t>Монохромная Россия: фотограф Сергей Михайлович Прокудин-Горский</t>
        </is>
      </c>
      <c r="Z1108" s="1" t="inlineStr">
        <is>
          <t>12+</t>
        </is>
      </c>
      <c r="AA1108" s="12" t="n">
        <v>45404</v>
      </c>
      <c r="AB1108" s="1" t="inlineStr">
        <is>
          <t>Искусство</t>
        </is>
      </c>
      <c r="AC1108" s="1" t="inlineStr">
        <is>
          <t>Изобразительное искусство. Архитектура</t>
        </is>
      </c>
      <c r="AD1108" s="1" t="inlineStr">
        <is>
          <t>Художественная фотография</t>
        </is>
      </c>
      <c r="AE1108" s="1" t="inlineStr">
        <is>
          <t>мелованная</t>
        </is>
      </c>
      <c r="AG1108" s="1" t="n">
        <v>11264620</v>
      </c>
      <c r="AI1108" s="1" t="inlineStr">
        <is>
          <t>4901990000</t>
        </is>
      </c>
    </row>
    <row r="1109" customFormat="1" s="1">
      <c r="C1109" s="1" t="inlineStr">
        <is>
          <t xml:space="preserve">11775720            </t>
        </is>
      </c>
      <c r="D1109" s="1" t="inlineStr">
        <is>
          <t>Цветная империя</t>
        </is>
      </c>
      <c r="E1109" s="1" t="inlineStr">
        <is>
          <t>Портреты эпохи. Лидский В., Наппельбаум М.С</t>
        </is>
      </c>
      <c r="F1109" s="13" t="inlineStr">
        <is>
          <t>См.обл.</t>
        </is>
      </c>
      <c r="G1109" s="1" t="inlineStr">
        <is>
          <t>Лидский В., Наппельбаум М.С</t>
        </is>
      </c>
      <c r="H1109" s="1" t="inlineStr">
        <is>
          <t>70х100/16</t>
        </is>
      </c>
      <c r="I1109" s="1" t="n">
        <v>112</v>
      </c>
      <c r="J1109" s="1" t="inlineStr">
        <is>
          <t>РИПОЛ Классик</t>
        </is>
      </c>
      <c r="M1109" s="1" t="inlineStr">
        <is>
          <t>2024</t>
        </is>
      </c>
      <c r="N1109" s="1" t="inlineStr">
        <is>
          <t>П</t>
        </is>
      </c>
      <c r="O1109" s="9" t="n">
        <v>10</v>
      </c>
      <c r="P1109" s="1">
        <f>ROUNDUP(1380*(1-$F$3),2)</f>
        <v/>
      </c>
      <c r="Q1109" s="1" t="inlineStr">
        <is>
          <t> </t>
        </is>
      </c>
      <c r="R1109" s="1" t="inlineStr">
        <is>
          <t>978-5-386-15300-7</t>
        </is>
      </c>
      <c r="S1109" s="1" t="inlineStr">
        <is>
          <t>9785386153007</t>
        </is>
      </c>
      <c r="T1109" s="9" t="n">
        <v>10</v>
      </c>
      <c r="U1109" s="1">
        <f>ROUNDUP(1254.55*(1-$F$3),2)</f>
        <v/>
      </c>
      <c r="V1109" s="1" t="n">
        <v>421</v>
      </c>
      <c r="Y1109" s="1" t="inlineStr">
        <is>
          <t>Портреты эпохи</t>
        </is>
      </c>
      <c r="Z1109" s="1" t="inlineStr">
        <is>
          <t>16+</t>
        </is>
      </c>
      <c r="AA1109" s="12" t="n">
        <v>45860</v>
      </c>
      <c r="AB1109" s="1" t="inlineStr">
        <is>
          <t>Искусство</t>
        </is>
      </c>
      <c r="AC1109" s="1" t="inlineStr">
        <is>
          <t>Изобразительное искусство. Архитектура</t>
        </is>
      </c>
      <c r="AD1109" s="1" t="inlineStr">
        <is>
          <t>Художественная фотография</t>
        </is>
      </c>
      <c r="AE1109" s="1" t="inlineStr">
        <is>
          <t>мелованная</t>
        </is>
      </c>
      <c r="AG1109" s="1" t="n">
        <v>11775720</v>
      </c>
      <c r="AI1109" s="1" t="inlineStr">
        <is>
          <t>4901990000</t>
        </is>
      </c>
    </row>
    <row r="1110" customFormat="1" s="1">
      <c r="C1110" s="1" t="inlineStr">
        <is>
          <t xml:space="preserve">11116470            </t>
        </is>
      </c>
      <c r="D1110" s="1" t="inlineStr">
        <is>
          <t>Цветная империя</t>
        </is>
      </c>
      <c r="E1110" s="1" t="inlineStr">
        <is>
          <t>Россия, которой нет. Прокудин-Горский С.М</t>
        </is>
      </c>
      <c r="F1110" s="13" t="inlineStr">
        <is>
          <t>См.обл.</t>
        </is>
      </c>
      <c r="G1110" s="1" t="inlineStr">
        <is>
          <t>Прокудин-Горский С.М</t>
        </is>
      </c>
      <c r="H1110" s="1" t="inlineStr">
        <is>
          <t>70х100/16</t>
        </is>
      </c>
      <c r="I1110" s="1" t="n">
        <v>224</v>
      </c>
      <c r="J1110" s="1" t="inlineStr">
        <is>
          <t>РИПОЛ Классик</t>
        </is>
      </c>
      <c r="M1110" s="1" t="inlineStr">
        <is>
          <t>2025</t>
        </is>
      </c>
      <c r="N1110" s="1" t="inlineStr">
        <is>
          <t>П</t>
        </is>
      </c>
      <c r="O1110" s="9" t="n">
        <v>8</v>
      </c>
      <c r="P1110" s="1">
        <f>ROUNDUP(2290*(1-$F$3),2)</f>
        <v/>
      </c>
      <c r="Q1110" s="1" t="inlineStr">
        <is>
          <t> </t>
        </is>
      </c>
      <c r="R1110" s="1" t="inlineStr">
        <is>
          <t>978-5-386-15121-8</t>
        </is>
      </c>
      <c r="S1110" s="1" t="inlineStr">
        <is>
          <t>9785386151218</t>
        </is>
      </c>
      <c r="T1110" s="9" t="n">
        <v>10</v>
      </c>
      <c r="U1110" s="1">
        <f>ROUNDUP(2081.82*(1-$F$3),2)</f>
        <v/>
      </c>
      <c r="V1110" s="1" t="n">
        <v>601</v>
      </c>
      <c r="Y1110" s="1" t="inlineStr">
        <is>
          <t>Россия, которой нет</t>
        </is>
      </c>
      <c r="Z1110" s="1" t="inlineStr">
        <is>
          <t>12+</t>
        </is>
      </c>
      <c r="AA1110" s="12" t="n">
        <v>45242</v>
      </c>
      <c r="AB1110" s="1" t="inlineStr">
        <is>
          <t>Искусство</t>
        </is>
      </c>
      <c r="AC1110" s="1" t="inlineStr">
        <is>
          <t>Изобразительное искусство. Архитектура</t>
        </is>
      </c>
      <c r="AD1110" s="1" t="inlineStr">
        <is>
          <t>Художественная фотография</t>
        </is>
      </c>
      <c r="AE1110" s="1" t="inlineStr">
        <is>
          <t>мелованная</t>
        </is>
      </c>
      <c r="AG1110" s="1" t="n">
        <v>11116470</v>
      </c>
      <c r="AI1110" s="1" t="inlineStr">
        <is>
          <t>4901990000</t>
        </is>
      </c>
    </row>
    <row r="1111" customFormat="1" s="1">
      <c r="C1111" s="1" t="inlineStr">
        <is>
          <t xml:space="preserve">9379070             </t>
        </is>
      </c>
      <c r="D1111" s="1" t="inlineStr">
        <is>
          <t>Цветная империя</t>
        </is>
      </c>
      <c r="E1111" s="1" t="inlineStr">
        <is>
          <t>Цветная империя. Россия до потрясений. Фотограф Прокудин-Горский С.М.: фотоальбом. Прокудин-Горский С.М</t>
        </is>
      </c>
      <c r="F1111" s="13" t="inlineStr">
        <is>
          <t>См.обл.</t>
        </is>
      </c>
      <c r="G1111" s="1" t="inlineStr">
        <is>
          <t>Прокудин-Горский С.М</t>
        </is>
      </c>
      <c r="H1111" s="1" t="inlineStr">
        <is>
          <t>84х108/16</t>
        </is>
      </c>
      <c r="I1111" s="1" t="n">
        <v>416</v>
      </c>
      <c r="J1111" s="1" t="inlineStr">
        <is>
          <t>РИПОЛ Классик</t>
        </is>
      </c>
      <c r="M1111" s="1" t="inlineStr">
        <is>
          <t>2025</t>
        </is>
      </c>
      <c r="N1111" s="1" t="inlineStr">
        <is>
          <t>П</t>
        </is>
      </c>
      <c r="O1111" s="9" t="n">
        <v>4</v>
      </c>
      <c r="P1111" s="1">
        <f>ROUNDUP(4030*(1-$F$3),2)</f>
        <v/>
      </c>
      <c r="Q1111" s="1" t="inlineStr">
        <is>
          <t> </t>
        </is>
      </c>
      <c r="R1111" s="1" t="inlineStr">
        <is>
          <t>978-5-386-13678-9</t>
        </is>
      </c>
      <c r="S1111" s="1" t="inlineStr">
        <is>
          <t>9785386136789</t>
        </is>
      </c>
      <c r="T1111" s="9" t="n">
        <v>10</v>
      </c>
      <c r="U1111" s="1">
        <f>ROUNDUP(3663.64*(1-$F$3),2)</f>
        <v/>
      </c>
      <c r="V1111" s="1" t="n">
        <v>1419</v>
      </c>
      <c r="Y1111" s="1" t="inlineStr">
        <is>
          <t>Цветная империя. Россия до потрясений. Фотограф Прокудин-Горский С.М.: фотоальбом</t>
        </is>
      </c>
      <c r="Z1111" s="1" t="inlineStr">
        <is>
          <t>0 +</t>
        </is>
      </c>
      <c r="AA1111" s="12" t="n">
        <v>44019</v>
      </c>
      <c r="AB1111" s="1" t="inlineStr">
        <is>
          <t>Искусство</t>
        </is>
      </c>
      <c r="AC1111" s="1" t="inlineStr">
        <is>
          <t>Изобразительное искусство. Архитектура</t>
        </is>
      </c>
      <c r="AD1111" s="1" t="inlineStr">
        <is>
          <t>Художественная фотография</t>
        </is>
      </c>
      <c r="AE1111" s="1" t="inlineStr">
        <is>
          <t>мелованная</t>
        </is>
      </c>
      <c r="AG1111" s="1" t="n">
        <v>9379070</v>
      </c>
      <c r="AI1111" s="1" t="inlineStr">
        <is>
          <t>4901990000</t>
        </is>
      </c>
    </row>
    <row r="1112" customFormat="1" s="1">
      <c r="C1112" s="1" t="inlineStr">
        <is>
          <t xml:space="preserve">11388110            </t>
        </is>
      </c>
      <c r="D1112" s="1" t="inlineStr">
        <is>
          <t>Читальный зал</t>
        </is>
      </c>
      <c r="E1112" s="1" t="inlineStr">
        <is>
          <t>1000 русских пословиц и поговорок. Даль В.И.</t>
        </is>
      </c>
      <c r="F1112" s="13" t="inlineStr">
        <is>
          <t>См.обл.</t>
        </is>
      </c>
      <c r="G1112" s="1" t="inlineStr">
        <is>
          <t>Даль В.И.</t>
        </is>
      </c>
      <c r="H1112" s="1" t="inlineStr">
        <is>
          <t>84х108/32</t>
        </is>
      </c>
      <c r="I1112" s="1" t="n">
        <v>518</v>
      </c>
      <c r="J1112" s="1" t="inlineStr">
        <is>
          <t>РИПОЛ Классик</t>
        </is>
      </c>
      <c r="M1112" s="1" t="inlineStr">
        <is>
          <t>2026</t>
        </is>
      </c>
      <c r="N1112" s="1" t="inlineStr">
        <is>
          <t>П</t>
        </is>
      </c>
      <c r="O1112" s="9" t="n">
        <v>8</v>
      </c>
      <c r="P1112" s="1">
        <f>ROUNDUP(1400*(1-$F$3),2)</f>
        <v/>
      </c>
      <c r="Q1112" s="1" t="inlineStr">
        <is>
          <t> </t>
        </is>
      </c>
      <c r="R1112" s="1" t="inlineStr">
        <is>
          <t>978-5-386-15215-4</t>
        </is>
      </c>
      <c r="S1112" s="1" t="inlineStr">
        <is>
          <t>9785386152154</t>
        </is>
      </c>
      <c r="T1112" s="9" t="n">
        <v>10</v>
      </c>
      <c r="U1112" s="1">
        <f>ROUNDUP(1272.73*(1-$F$3),2)</f>
        <v/>
      </c>
      <c r="V1112" s="1" t="n">
        <v>532</v>
      </c>
      <c r="Y1112" s="1" t="inlineStr">
        <is>
          <t>1000 русских пословиц и поговорок</t>
        </is>
      </c>
      <c r="Z1112" s="1" t="inlineStr">
        <is>
          <t>12+</t>
        </is>
      </c>
      <c r="AA1112" s="12" t="n">
        <v>45467</v>
      </c>
      <c r="AB1112" s="1" t="inlineStr">
        <is>
          <t>Художественная литература</t>
        </is>
      </c>
      <c r="AC1112" s="1" t="inlineStr">
        <is>
          <t>Фольклор</t>
        </is>
      </c>
      <c r="AD1112" s="1" t="inlineStr">
        <is>
          <t>Пословицы. Поговорки</t>
        </is>
      </c>
      <c r="AE1112" s="1" t="inlineStr">
        <is>
          <t>офсетная</t>
        </is>
      </c>
      <c r="AG1112" s="1" t="n">
        <v>11388110</v>
      </c>
      <c r="AI1112" s="1" t="inlineStr">
        <is>
          <t>4901990000</t>
        </is>
      </c>
    </row>
    <row r="1113" customFormat="1" s="1">
      <c r="C1113" s="1" t="inlineStr">
        <is>
          <t xml:space="preserve">11572440            </t>
        </is>
      </c>
      <c r="D1113" s="1" t="inlineStr">
        <is>
          <t>Читальный зал</t>
        </is>
      </c>
      <c r="E1113" s="1" t="inlineStr">
        <is>
          <t>1000 русских пословиц и поговорок. Даль В.И.</t>
        </is>
      </c>
      <c r="F1113" s="13" t="inlineStr">
        <is>
          <t>См.обл.</t>
        </is>
      </c>
      <c r="G1113" s="1" t="inlineStr">
        <is>
          <t>Даль В.И.</t>
        </is>
      </c>
      <c r="H1113" s="1" t="inlineStr">
        <is>
          <t>84х108/32</t>
        </is>
      </c>
      <c r="I1113" s="1" t="n">
        <v>518</v>
      </c>
      <c r="J1113" s="1" t="inlineStr">
        <is>
          <t>РИПОЛ Классик</t>
        </is>
      </c>
      <c r="M1113" s="1" t="inlineStr">
        <is>
          <t>2026</t>
        </is>
      </c>
      <c r="N1113" s="1" t="inlineStr">
        <is>
          <t>П</t>
        </is>
      </c>
      <c r="O1113" s="9" t="n">
        <v>4</v>
      </c>
      <c r="P1113" s="1">
        <f>ROUNDUP(1670*(1-$F$3),2)</f>
        <v/>
      </c>
      <c r="Q1113" s="1" t="inlineStr">
        <is>
          <t> </t>
        </is>
      </c>
      <c r="R1113" s="1" t="inlineStr">
        <is>
          <t>978-5-386-15378-6</t>
        </is>
      </c>
      <c r="S1113" s="1" t="inlineStr">
        <is>
          <t>9785386153786</t>
        </is>
      </c>
      <c r="T1113" s="9" t="n">
        <v>10</v>
      </c>
      <c r="U1113" s="1">
        <f>ROUNDUP(1518.18*(1-$F$3),2)</f>
        <v/>
      </c>
      <c r="V1113" s="1" t="n">
        <v>491</v>
      </c>
      <c r="Y1113" s="1" t="inlineStr">
        <is>
          <t>1000 русских пословиц и поговорок</t>
        </is>
      </c>
      <c r="Z1113" s="1" t="inlineStr">
        <is>
          <t>12+</t>
        </is>
      </c>
      <c r="AA1113" s="12" t="n">
        <v>45635</v>
      </c>
      <c r="AB1113" s="1" t="inlineStr">
        <is>
          <t>Художественная литература</t>
        </is>
      </c>
      <c r="AC1113" s="1" t="inlineStr">
        <is>
          <t>Фольклор</t>
        </is>
      </c>
      <c r="AD1113" s="1" t="inlineStr">
        <is>
          <t>Пословицы. Поговорки</t>
        </is>
      </c>
      <c r="AE1113" s="1" t="inlineStr">
        <is>
          <t>офсетная</t>
        </is>
      </c>
      <c r="AG1113" s="1" t="n">
        <v>11572440</v>
      </c>
      <c r="AI1113" s="1" t="inlineStr">
        <is>
          <t>4901990000</t>
        </is>
      </c>
    </row>
    <row r="1114" customFormat="1" s="1">
      <c r="C1114" s="1" t="inlineStr">
        <is>
          <t xml:space="preserve">11674850            </t>
        </is>
      </c>
      <c r="D1114" s="1" t="inlineStr">
        <is>
          <t>Читальный зал</t>
        </is>
      </c>
      <c r="E1114" s="1" t="inlineStr">
        <is>
          <t>33 стратегии войны. Грин Р.</t>
        </is>
      </c>
      <c r="F1114" s="13" t="inlineStr">
        <is>
          <t>См.обл.</t>
        </is>
      </c>
      <c r="G1114" s="1" t="inlineStr">
        <is>
          <t>Грин Р.</t>
        </is>
      </c>
      <c r="H1114" s="1" t="inlineStr">
        <is>
          <t>84х108/32</t>
        </is>
      </c>
      <c r="I1114" s="1" t="n">
        <v>320</v>
      </c>
      <c r="J1114" s="1" t="inlineStr">
        <is>
          <t>РИПОЛ Классик</t>
        </is>
      </c>
      <c r="M1114" s="1" t="inlineStr">
        <is>
          <t>2025</t>
        </is>
      </c>
      <c r="N1114" s="1" t="inlineStr">
        <is>
          <t>П</t>
        </is>
      </c>
      <c r="O1114" s="9" t="n">
        <v>6</v>
      </c>
      <c r="P1114" s="1">
        <f>ROUNDUP(1210*(1-$F$3),2)</f>
        <v/>
      </c>
      <c r="Q1114" s="1" t="inlineStr">
        <is>
          <t> </t>
        </is>
      </c>
      <c r="R1114" s="1" t="inlineStr">
        <is>
          <t>978-5-386-15400-4</t>
        </is>
      </c>
      <c r="S1114" s="1" t="inlineStr">
        <is>
          <t>9785386154004</t>
        </is>
      </c>
      <c r="T1114" s="9" t="n">
        <v>10</v>
      </c>
      <c r="U1114" s="1">
        <f>ROUNDUP(1100*(1-$F$3),2)</f>
        <v/>
      </c>
      <c r="V1114" s="1" t="n">
        <v>331</v>
      </c>
      <c r="Y1114" s="1" t="inlineStr">
        <is>
          <t>33 стратегии войны</t>
        </is>
      </c>
      <c r="Z1114" s="1" t="inlineStr">
        <is>
          <t>16+</t>
        </is>
      </c>
      <c r="AA1114" s="12" t="n">
        <v>45723</v>
      </c>
      <c r="AB1114" s="1" t="inlineStr">
        <is>
          <t>Гуманитарные науки</t>
        </is>
      </c>
      <c r="AC1114" s="1" t="inlineStr">
        <is>
          <t>Психология</t>
        </is>
      </c>
      <c r="AD1114" s="1" t="inlineStr">
        <is>
          <t>Социальная психология. Психология отношений. Коммуникации</t>
        </is>
      </c>
      <c r="AE1114" s="1" t="inlineStr">
        <is>
          <t>офсетная</t>
        </is>
      </c>
      <c r="AG1114" s="1" t="n">
        <v>11674850</v>
      </c>
      <c r="AI1114" s="1" t="inlineStr">
        <is>
          <t>4901990000</t>
        </is>
      </c>
    </row>
    <row r="1115" customFormat="1" s="1">
      <c r="C1115" s="1" t="inlineStr">
        <is>
          <t xml:space="preserve">11388120            </t>
        </is>
      </c>
      <c r="D1115" s="1" t="inlineStr">
        <is>
          <t>Читальный зал</t>
        </is>
      </c>
      <c r="E1115" s="1" t="inlineStr">
        <is>
          <t>48 законов власти (краткая версия). Грин Р.</t>
        </is>
      </c>
      <c r="F1115" s="13" t="inlineStr">
        <is>
          <t>См.обл.</t>
        </is>
      </c>
      <c r="G1115" s="1" t="inlineStr">
        <is>
          <t>Грин Р.</t>
        </is>
      </c>
      <c r="H1115" s="1" t="inlineStr">
        <is>
          <t>84х108/32</t>
        </is>
      </c>
      <c r="I1115" s="1" t="n">
        <v>304</v>
      </c>
      <c r="J1115" s="1" t="inlineStr">
        <is>
          <t>РИПОЛ Классик</t>
        </is>
      </c>
      <c r="M1115" s="1" t="inlineStr">
        <is>
          <t>2026</t>
        </is>
      </c>
      <c r="N1115" s="1" t="inlineStr">
        <is>
          <t>П</t>
        </is>
      </c>
      <c r="O1115" s="9" t="n">
        <v>12</v>
      </c>
      <c r="P1115" s="1">
        <f>ROUNDUP(1050*(1-$F$3),2)</f>
        <v/>
      </c>
      <c r="Q1115" s="1" t="inlineStr">
        <is>
          <t> </t>
        </is>
      </c>
      <c r="R1115" s="1" t="inlineStr">
        <is>
          <t>978-5-386-15212-3</t>
        </is>
      </c>
      <c r="S1115" s="1" t="inlineStr">
        <is>
          <t>9785386152123</t>
        </is>
      </c>
      <c r="T1115" s="9" t="n">
        <v>10</v>
      </c>
      <c r="U1115" s="1">
        <f>ROUNDUP(954.55*(1-$F$3),2)</f>
        <v/>
      </c>
      <c r="V1115" s="1" t="n">
        <v>323</v>
      </c>
      <c r="Y1115" s="1" t="inlineStr">
        <is>
          <t>48 законов власти (краткая версия)</t>
        </is>
      </c>
      <c r="Z1115" s="1" t="inlineStr">
        <is>
          <t>16+</t>
        </is>
      </c>
      <c r="AA1115" s="12" t="n">
        <v>45467</v>
      </c>
      <c r="AB1115" s="1" t="inlineStr">
        <is>
          <t>Общественные науки</t>
        </is>
      </c>
      <c r="AC1115" s="1" t="inlineStr">
        <is>
          <t>Политика</t>
        </is>
      </c>
      <c r="AD1115" s="1" t="inlineStr">
        <is>
          <t>Государственное управление. Власть</t>
        </is>
      </c>
      <c r="AE1115" s="1" t="inlineStr">
        <is>
          <t>офсетная</t>
        </is>
      </c>
      <c r="AG1115" s="1" t="n">
        <v>11388120</v>
      </c>
      <c r="AI1115" s="1" t="inlineStr">
        <is>
          <t>4901990000</t>
        </is>
      </c>
    </row>
    <row r="1116" customFormat="1" s="1">
      <c r="C1116" s="1" t="inlineStr">
        <is>
          <t xml:space="preserve">11572450            </t>
        </is>
      </c>
      <c r="D1116" s="1" t="inlineStr">
        <is>
          <t>Читальный зал</t>
        </is>
      </c>
      <c r="E1116" s="1" t="inlineStr">
        <is>
          <t>48 законов власти. Краткая версия. Грин Р.</t>
        </is>
      </c>
      <c r="F1116" s="13" t="inlineStr">
        <is>
          <t>См.обл.</t>
        </is>
      </c>
      <c r="G1116" s="1" t="inlineStr">
        <is>
          <t>Грин Р.</t>
        </is>
      </c>
      <c r="H1116" s="1" t="inlineStr">
        <is>
          <t>84х108/32</t>
        </is>
      </c>
      <c r="I1116" s="1" t="n">
        <v>304</v>
      </c>
      <c r="J1116" s="1" t="inlineStr">
        <is>
          <t>РИПОЛ Классик</t>
        </is>
      </c>
      <c r="M1116" s="1" t="inlineStr">
        <is>
          <t>2026</t>
        </is>
      </c>
      <c r="N1116" s="1" t="inlineStr">
        <is>
          <t>П</t>
        </is>
      </c>
      <c r="O1116" s="9" t="n">
        <v>5</v>
      </c>
      <c r="P1116" s="1">
        <f>ROUNDUP(1050*(1-$F$3),2)</f>
        <v/>
      </c>
      <c r="Q1116" s="1" t="inlineStr">
        <is>
          <t> </t>
        </is>
      </c>
      <c r="R1116" s="1" t="inlineStr">
        <is>
          <t>978-5-386-15379-3</t>
        </is>
      </c>
      <c r="S1116" s="1" t="inlineStr">
        <is>
          <t>9785386153793</t>
        </is>
      </c>
      <c r="T1116" s="9" t="n">
        <v>10</v>
      </c>
      <c r="U1116" s="1">
        <f>ROUNDUP(954.55*(1-$F$3),2)</f>
        <v/>
      </c>
      <c r="V1116" s="1" t="n">
        <v>331</v>
      </c>
      <c r="Y1116" s="1" t="inlineStr">
        <is>
          <t>48 законов власти. Краткая версия</t>
        </is>
      </c>
      <c r="Z1116" s="1" t="inlineStr">
        <is>
          <t>16+</t>
        </is>
      </c>
      <c r="AA1116" s="12" t="n">
        <v>45635</v>
      </c>
      <c r="AB1116" s="1" t="inlineStr">
        <is>
          <t>Общественные науки</t>
        </is>
      </c>
      <c r="AC1116" s="1" t="inlineStr">
        <is>
          <t>Политика</t>
        </is>
      </c>
      <c r="AD1116" s="1" t="inlineStr">
        <is>
          <t>Государственное управление. Власть</t>
        </is>
      </c>
      <c r="AE1116" s="1" t="inlineStr">
        <is>
          <t>офсетная</t>
        </is>
      </c>
      <c r="AG1116" s="1" t="n">
        <v>11572450</v>
      </c>
      <c r="AI1116" s="1" t="inlineStr">
        <is>
          <t>4901990000</t>
        </is>
      </c>
    </row>
    <row r="1117" customFormat="1" s="1">
      <c r="C1117" s="1" t="inlineStr">
        <is>
          <t xml:space="preserve">11674840            </t>
        </is>
      </c>
      <c r="D1117" s="1" t="inlineStr">
        <is>
          <t>Читальный зал</t>
        </is>
      </c>
      <c r="E1117" s="1" t="inlineStr">
        <is>
          <t>Ведьма. Мишле Ж.</t>
        </is>
      </c>
      <c r="F1117" s="13" t="inlineStr">
        <is>
          <t>См.обл.</t>
        </is>
      </c>
      <c r="G1117" s="1" t="inlineStr">
        <is>
          <t>Мишле Ж.</t>
        </is>
      </c>
      <c r="H1117" s="1" t="inlineStr">
        <is>
          <t>84х108/32</t>
        </is>
      </c>
      <c r="I1117" s="1" t="n">
        <v>352</v>
      </c>
      <c r="J1117" s="1" t="inlineStr">
        <is>
          <t>РИПОЛ Классик</t>
        </is>
      </c>
      <c r="M1117" s="1" t="inlineStr">
        <is>
          <t>2026</t>
        </is>
      </c>
      <c r="N1117" s="1" t="inlineStr">
        <is>
          <t>П</t>
        </is>
      </c>
      <c r="O1117" s="9" t="n">
        <v>10</v>
      </c>
      <c r="P1117" s="1">
        <f>ROUNDUP(1160*(1-$F$3),2)</f>
        <v/>
      </c>
      <c r="Q1117" s="1" t="inlineStr">
        <is>
          <t> </t>
        </is>
      </c>
      <c r="R1117" s="1" t="inlineStr">
        <is>
          <t>978-5-386-15383-0</t>
        </is>
      </c>
      <c r="S1117" s="1" t="inlineStr">
        <is>
          <t>9785386153830</t>
        </is>
      </c>
      <c r="T1117" s="9" t="n">
        <v>22</v>
      </c>
      <c r="U1117" s="1">
        <f>ROUNDUP(950.82*(1-$F$3),2)</f>
        <v/>
      </c>
      <c r="V1117" s="1" t="n">
        <v>371</v>
      </c>
      <c r="Y1117" s="1" t="inlineStr">
        <is>
          <t>Ведьма</t>
        </is>
      </c>
      <c r="Z1117" s="1" t="inlineStr">
        <is>
          <t>18+</t>
        </is>
      </c>
      <c r="AA1117" s="12" t="n">
        <v>45721</v>
      </c>
      <c r="AB1117" s="1" t="inlineStr">
        <is>
          <t>Художественная литература</t>
        </is>
      </c>
      <c r="AC1117" s="1" t="inlineStr">
        <is>
          <t>Зарубежная литература</t>
        </is>
      </c>
      <c r="AD1117" s="1" t="inlineStr">
        <is>
          <t>Европейская литература</t>
        </is>
      </c>
      <c r="AE1117" s="1" t="inlineStr">
        <is>
          <t>офсетная</t>
        </is>
      </c>
      <c r="AG1117" s="1" t="n">
        <v>11674840</v>
      </c>
      <c r="AI1117" s="1" t="inlineStr">
        <is>
          <t>4901990000</t>
        </is>
      </c>
    </row>
    <row r="1118" customFormat="1" s="1">
      <c r="C1118" s="1" t="inlineStr">
        <is>
          <t xml:space="preserve">11498810            </t>
        </is>
      </c>
      <c r="D1118" s="1" t="inlineStr">
        <is>
          <t>Читальный зал</t>
        </is>
      </c>
      <c r="E1118" s="1" t="inlineStr">
        <is>
          <t>Выбранные места из переписки с друзьями. Гоголь Н.В.</t>
        </is>
      </c>
      <c r="F1118" s="13" t="inlineStr">
        <is>
          <t>См.обл.</t>
        </is>
      </c>
      <c r="G1118" s="1" t="inlineStr">
        <is>
          <t>Гоголь Н.В.</t>
        </is>
      </c>
      <c r="H1118" s="1" t="inlineStr">
        <is>
          <t>84х108/32</t>
        </is>
      </c>
      <c r="I1118" s="1" t="n">
        <v>400</v>
      </c>
      <c r="J1118" s="1" t="inlineStr">
        <is>
          <t>РИПОЛ Классик</t>
        </is>
      </c>
      <c r="M1118" s="1" t="inlineStr">
        <is>
          <t>2026</t>
        </is>
      </c>
      <c r="N1118" s="1" t="inlineStr">
        <is>
          <t>П</t>
        </is>
      </c>
      <c r="O1118" s="9" t="n">
        <v>10</v>
      </c>
      <c r="P1118" s="1">
        <f>ROUNDUP(1390*(1-$F$3),2)</f>
        <v/>
      </c>
      <c r="Q1118" s="1" t="inlineStr">
        <is>
          <t> </t>
        </is>
      </c>
      <c r="R1118" s="1" t="inlineStr">
        <is>
          <t>978-5-386-15004-4</t>
        </is>
      </c>
      <c r="S1118" s="1" t="inlineStr">
        <is>
          <t>9785386150044</t>
        </is>
      </c>
      <c r="T1118" s="9" t="n">
        <v>10</v>
      </c>
      <c r="U1118" s="1">
        <f>ROUNDUP(1263.64*(1-$F$3),2)</f>
        <v/>
      </c>
      <c r="V1118" s="1" t="n">
        <v>437</v>
      </c>
      <c r="Y1118" s="1" t="inlineStr">
        <is>
          <t>Выбранные места из переписки с друзьями</t>
        </is>
      </c>
      <c r="Z1118" s="1" t="inlineStr">
        <is>
          <t>16+</t>
        </is>
      </c>
      <c r="AA1118" s="12" t="n">
        <v>45568</v>
      </c>
      <c r="AB1118" s="1" t="inlineStr">
        <is>
          <t>Художественная литература</t>
        </is>
      </c>
      <c r="AC1118" s="1" t="inlineStr">
        <is>
          <t>Русская литература</t>
        </is>
      </c>
      <c r="AD1118" s="1" t="inlineStr">
        <is>
          <t>Русская литература XVIII-нач. XX вв. (до 1917 г.)</t>
        </is>
      </c>
      <c r="AE1118" s="1" t="inlineStr">
        <is>
          <t>офсетная</t>
        </is>
      </c>
      <c r="AG1118" s="1" t="n">
        <v>11498810</v>
      </c>
      <c r="AI1118" s="1" t="inlineStr">
        <is>
          <t>4901990000</t>
        </is>
      </c>
    </row>
    <row r="1119" customFormat="1" s="1">
      <c r="C1119" s="1" t="inlineStr">
        <is>
          <t xml:space="preserve">11577840            </t>
        </is>
      </c>
      <c r="D1119" s="1" t="inlineStr">
        <is>
          <t>Читальный зал</t>
        </is>
      </c>
      <c r="E1119" s="1" t="inlineStr">
        <is>
          <t>Город Эн. Добычин Л.И.</t>
        </is>
      </c>
      <c r="F1119" s="13" t="inlineStr">
        <is>
          <t>См.обл.</t>
        </is>
      </c>
      <c r="G1119" s="1" t="inlineStr">
        <is>
          <t>Добычин Л.И.</t>
        </is>
      </c>
      <c r="H1119" s="1" t="inlineStr">
        <is>
          <t>84х108/32</t>
        </is>
      </c>
      <c r="I1119" s="1" t="n">
        <v>240</v>
      </c>
      <c r="J1119" s="1" t="inlineStr">
        <is>
          <t>РИПОЛ Классик</t>
        </is>
      </c>
      <c r="M1119" s="1" t="inlineStr">
        <is>
          <t>2026</t>
        </is>
      </c>
      <c r="N1119" s="1" t="inlineStr">
        <is>
          <t>П</t>
        </is>
      </c>
      <c r="O1119" s="9" t="n">
        <v>6</v>
      </c>
      <c r="P1119" s="1">
        <f>ROUNDUP(1045*(1-$F$3),2)</f>
        <v/>
      </c>
      <c r="Q1119" s="1" t="inlineStr">
        <is>
          <t> </t>
        </is>
      </c>
      <c r="R1119" s="1" t="inlineStr">
        <is>
          <t>978-5-386-15387-8</t>
        </is>
      </c>
      <c r="S1119" s="1" t="inlineStr">
        <is>
          <t>9785386153878</t>
        </is>
      </c>
      <c r="T1119" s="9" t="n">
        <v>10</v>
      </c>
      <c r="U1119" s="1">
        <f>ROUNDUP(950*(1-$F$3),2)</f>
        <v/>
      </c>
      <c r="V1119" s="1" t="n">
        <v>281</v>
      </c>
      <c r="Y1119" s="1" t="inlineStr">
        <is>
          <t>Город Эн</t>
        </is>
      </c>
      <c r="Z1119" s="1" t="inlineStr">
        <is>
          <t>16+</t>
        </is>
      </c>
      <c r="AA1119" s="12" t="n">
        <v>45635</v>
      </c>
      <c r="AB1119" s="1" t="inlineStr">
        <is>
          <t>Художественная литература</t>
        </is>
      </c>
      <c r="AC1119" s="1" t="inlineStr">
        <is>
          <t>Русская литература</t>
        </is>
      </c>
      <c r="AD1119" s="1" t="inlineStr">
        <is>
          <t>Русская литература советского периода (1917-1991 гг.)</t>
        </is>
      </c>
      <c r="AE1119" s="1" t="inlineStr">
        <is>
          <t>офсетная</t>
        </is>
      </c>
      <c r="AG1119" s="1" t="n">
        <v>11577840</v>
      </c>
      <c r="AI1119" s="1" t="inlineStr">
        <is>
          <t>4901990000</t>
        </is>
      </c>
    </row>
    <row r="1120" customFormat="1" s="1">
      <c r="C1120" s="1" t="inlineStr">
        <is>
          <t xml:space="preserve">11746600            </t>
        </is>
      </c>
      <c r="D1120" s="1" t="inlineStr">
        <is>
          <t>Читальный зал</t>
        </is>
      </c>
      <c r="E1120" s="1" t="inlineStr">
        <is>
          <t>Гроза. Островский А.Н.</t>
        </is>
      </c>
      <c r="F1120" s="13" t="inlineStr">
        <is>
          <t>См.обл.</t>
        </is>
      </c>
      <c r="G1120" s="1" t="inlineStr">
        <is>
          <t>Островский А.Н.</t>
        </is>
      </c>
      <c r="H1120" s="1" t="inlineStr">
        <is>
          <t>84х108/32</t>
        </is>
      </c>
      <c r="I1120" s="1" t="n">
        <v>256</v>
      </c>
      <c r="J1120" s="1" t="inlineStr">
        <is>
          <t>РИПОЛ Классик</t>
        </is>
      </c>
      <c r="M1120" s="1" t="inlineStr">
        <is>
          <t>2026</t>
        </is>
      </c>
      <c r="N1120" s="1" t="inlineStr">
        <is>
          <t>П</t>
        </is>
      </c>
      <c r="O1120" s="9" t="n">
        <v>12</v>
      </c>
      <c r="P1120" s="1">
        <f>ROUNDUP(950*(1-$F$3),2)</f>
        <v/>
      </c>
      <c r="Q1120" s="1" t="inlineStr">
        <is>
          <t> </t>
        </is>
      </c>
      <c r="R1120" s="1" t="inlineStr">
        <is>
          <t>978-5-386-15454-7</t>
        </is>
      </c>
      <c r="S1120" s="1" t="inlineStr">
        <is>
          <t>9785386154547</t>
        </is>
      </c>
      <c r="T1120" s="9" t="n">
        <v>10</v>
      </c>
      <c r="U1120" s="1">
        <f>ROUNDUP(863.64*(1-$F$3),2)</f>
        <v/>
      </c>
      <c r="V1120" s="1" t="n">
        <v>293</v>
      </c>
      <c r="Y1120" s="1" t="inlineStr">
        <is>
          <t>Гроза</t>
        </is>
      </c>
      <c r="Z1120" s="1" t="inlineStr">
        <is>
          <t>12+</t>
        </is>
      </c>
      <c r="AA1120" s="12" t="n">
        <v>45797</v>
      </c>
      <c r="AB1120" s="1" t="inlineStr">
        <is>
          <t>Художественная литература</t>
        </is>
      </c>
      <c r="AC1120" s="1" t="inlineStr">
        <is>
          <t>Драматургия</t>
        </is>
      </c>
      <c r="AD1120" s="1" t="inlineStr">
        <is>
          <t>Русская драматургия</t>
        </is>
      </c>
      <c r="AE1120" s="1" t="inlineStr">
        <is>
          <t>офсетная</t>
        </is>
      </c>
      <c r="AG1120" s="1" t="n">
        <v>11746600</v>
      </c>
      <c r="AI1120" s="1" t="inlineStr">
        <is>
          <t>4901990000</t>
        </is>
      </c>
    </row>
    <row r="1121" customFormat="1" s="1">
      <c r="C1121" s="1" t="inlineStr">
        <is>
          <t xml:space="preserve">11525240            </t>
        </is>
      </c>
      <c r="D1121" s="1" t="inlineStr">
        <is>
          <t>Читальный зал</t>
        </is>
      </c>
      <c r="E1121" s="1" t="inlineStr">
        <is>
          <t>Живые лица. Гиппиус З.Н.</t>
        </is>
      </c>
      <c r="F1121" s="13" t="inlineStr">
        <is>
          <t>См.обл.</t>
        </is>
      </c>
      <c r="G1121" s="1" t="inlineStr">
        <is>
          <t>Гиппиус З.Н.</t>
        </is>
      </c>
      <c r="H1121" s="1" t="inlineStr">
        <is>
          <t>84х108/32</t>
        </is>
      </c>
      <c r="I1121" s="1" t="n">
        <v>320</v>
      </c>
      <c r="J1121" s="1" t="inlineStr">
        <is>
          <t>РИПОЛ Классик</t>
        </is>
      </c>
      <c r="M1121" s="1" t="inlineStr">
        <is>
          <t>2026</t>
        </is>
      </c>
      <c r="N1121" s="1" t="inlineStr">
        <is>
          <t>П</t>
        </is>
      </c>
      <c r="O1121" s="9" t="n">
        <v>10</v>
      </c>
      <c r="P1121" s="1">
        <f>ROUNDUP(1089*(1-$F$3),2)</f>
        <v/>
      </c>
      <c r="Q1121" s="1" t="inlineStr">
        <is>
          <t> </t>
        </is>
      </c>
      <c r="R1121" s="1" t="inlineStr">
        <is>
          <t>978-5-386-15351-9</t>
        </is>
      </c>
      <c r="S1121" s="1" t="inlineStr">
        <is>
          <t>9785386153519</t>
        </is>
      </c>
      <c r="T1121" s="9" t="n">
        <v>10</v>
      </c>
      <c r="U1121" s="1">
        <f>ROUNDUP(990*(1-$F$3),2)</f>
        <v/>
      </c>
      <c r="V1121" s="1" t="n">
        <v>346</v>
      </c>
      <c r="Y1121" s="1" t="inlineStr">
        <is>
          <t>Живые лица</t>
        </is>
      </c>
      <c r="Z1121" s="1" t="inlineStr">
        <is>
          <t>12+</t>
        </is>
      </c>
      <c r="AA1121" s="12" t="n">
        <v>45607</v>
      </c>
      <c r="AB1121" s="1" t="inlineStr">
        <is>
          <t>Художественно-документальная проза</t>
        </is>
      </c>
      <c r="AC1121" s="1" t="inlineStr">
        <is>
          <t>Биографии. Мемуары</t>
        </is>
      </c>
      <c r="AD1121" s="1" t="inlineStr">
        <is>
          <t>Воспоминания. Дневники. Письма</t>
        </is>
      </c>
      <c r="AE1121" s="1" t="inlineStr">
        <is>
          <t>офсетная</t>
        </is>
      </c>
      <c r="AG1121" s="1" t="n">
        <v>11525240</v>
      </c>
      <c r="AI1121" s="1" t="inlineStr">
        <is>
          <t>4901990000</t>
        </is>
      </c>
    </row>
    <row r="1122" customFormat="1" s="1">
      <c r="C1122" s="1" t="inlineStr">
        <is>
          <t xml:space="preserve">11491590            </t>
        </is>
      </c>
      <c r="D1122" s="1" t="inlineStr">
        <is>
          <t>Читальный зал</t>
        </is>
      </c>
      <c r="E1122" s="1" t="inlineStr">
        <is>
          <t>Жизнь есть сон. Кальдерон де ла Барка П.</t>
        </is>
      </c>
      <c r="F1122" s="13" t="inlineStr">
        <is>
          <t>См.обл.</t>
        </is>
      </c>
      <c r="G1122" s="1" t="inlineStr">
        <is>
          <t>Кальдерон де ла Барка П.</t>
        </is>
      </c>
      <c r="H1122" s="1" t="inlineStr">
        <is>
          <t>84х108/32</t>
        </is>
      </c>
      <c r="I1122" s="1" t="n">
        <v>192</v>
      </c>
      <c r="J1122" s="1" t="inlineStr">
        <is>
          <t>РИПОЛ Классик</t>
        </is>
      </c>
      <c r="M1122" s="1" t="inlineStr">
        <is>
          <t>2026</t>
        </is>
      </c>
      <c r="N1122" s="1" t="inlineStr">
        <is>
          <t>П</t>
        </is>
      </c>
      <c r="O1122" s="9" t="n">
        <v>16</v>
      </c>
      <c r="P1122" s="1">
        <f>ROUNDUP(1270*(1-$F$3),2)</f>
        <v/>
      </c>
      <c r="Q1122" s="1" t="inlineStr">
        <is>
          <t> </t>
        </is>
      </c>
      <c r="R1122" s="1" t="inlineStr">
        <is>
          <t>978-5-386-15297-0</t>
        </is>
      </c>
      <c r="S1122" s="1" t="inlineStr">
        <is>
          <t>9785386152970</t>
        </is>
      </c>
      <c r="T1122" s="9" t="n">
        <v>10</v>
      </c>
      <c r="U1122" s="1">
        <f>ROUNDUP(1154.55*(1-$F$3),2)</f>
        <v/>
      </c>
      <c r="V1122" s="1" t="n">
        <v>291</v>
      </c>
      <c r="Y1122" s="1" t="inlineStr">
        <is>
          <t>Жизнь есть сон</t>
        </is>
      </c>
      <c r="Z1122" s="1" t="inlineStr">
        <is>
          <t>16+</t>
        </is>
      </c>
      <c r="AA1122" s="12" t="n">
        <v>45580</v>
      </c>
      <c r="AB1122" s="1" t="inlineStr">
        <is>
          <t>Художественная литература</t>
        </is>
      </c>
      <c r="AC1122" s="1" t="inlineStr">
        <is>
          <t>Драматургия</t>
        </is>
      </c>
      <c r="AD1122" s="1" t="inlineStr">
        <is>
          <t>Зарубежная драматургия</t>
        </is>
      </c>
      <c r="AE1122" s="1" t="inlineStr">
        <is>
          <t>офсетная</t>
        </is>
      </c>
      <c r="AG1122" s="1" t="n">
        <v>11491590</v>
      </c>
      <c r="AI1122" s="1" t="inlineStr">
        <is>
          <t>4901990000</t>
        </is>
      </c>
    </row>
    <row r="1123" customFormat="1" s="1">
      <c r="C1123" s="1" t="inlineStr">
        <is>
          <t xml:space="preserve">11610330            </t>
        </is>
      </c>
      <c r="D1123" s="1" t="inlineStr">
        <is>
          <t>Читальный зал</t>
        </is>
      </c>
      <c r="E1123" s="1" t="inlineStr">
        <is>
          <t>Жизнь. Мопассан Г., де</t>
        </is>
      </c>
      <c r="F1123" s="13" t="inlineStr">
        <is>
          <t>См.обл.</t>
        </is>
      </c>
      <c r="G1123" s="1" t="inlineStr">
        <is>
          <t>Мопассан Г., де</t>
        </is>
      </c>
      <c r="H1123" s="1" t="inlineStr">
        <is>
          <t>84х108/32</t>
        </is>
      </c>
      <c r="I1123" s="1" t="n">
        <v>304</v>
      </c>
      <c r="J1123" s="1" t="inlineStr">
        <is>
          <t>РИПОЛ Классик</t>
        </is>
      </c>
      <c r="M1123" s="1" t="inlineStr">
        <is>
          <t>2026</t>
        </is>
      </c>
      <c r="N1123" s="1" t="inlineStr">
        <is>
          <t>П</t>
        </is>
      </c>
      <c r="O1123" s="9" t="n">
        <v>4</v>
      </c>
      <c r="P1123" s="1">
        <f>ROUNDUP(1040*(1-$F$3),2)</f>
        <v/>
      </c>
      <c r="Q1123" s="1" t="inlineStr">
        <is>
          <t> </t>
        </is>
      </c>
      <c r="R1123" s="1" t="inlineStr">
        <is>
          <t>978-5-386-15367-0</t>
        </is>
      </c>
      <c r="S1123" s="1" t="inlineStr">
        <is>
          <t>9785386153670</t>
        </is>
      </c>
      <c r="T1123" s="9" t="n">
        <v>10</v>
      </c>
      <c r="U1123" s="1">
        <f>ROUNDUP(945.45*(1-$F$3),2)</f>
        <v/>
      </c>
      <c r="V1123" s="1" t="n">
        <v>331</v>
      </c>
      <c r="Y1123" s="1" t="inlineStr">
        <is>
          <t>Жизнь</t>
        </is>
      </c>
      <c r="Z1123" s="1" t="inlineStr">
        <is>
          <t>16+</t>
        </is>
      </c>
      <c r="AA1123" s="12" t="n">
        <v>45670</v>
      </c>
      <c r="AB1123" s="1" t="inlineStr">
        <is>
          <t>Художественная литература</t>
        </is>
      </c>
      <c r="AC1123" s="1" t="inlineStr">
        <is>
          <t>Зарубежная литература</t>
        </is>
      </c>
      <c r="AD1123" s="1" t="inlineStr">
        <is>
          <t>Европейская литература</t>
        </is>
      </c>
      <c r="AE1123" s="1" t="inlineStr">
        <is>
          <t>офсетная</t>
        </is>
      </c>
      <c r="AG1123" s="1" t="n">
        <v>11610330</v>
      </c>
      <c r="AI1123" s="1" t="inlineStr">
        <is>
          <t>4901990000</t>
        </is>
      </c>
    </row>
    <row r="1124" customFormat="1" s="1">
      <c r="C1124" s="1" t="inlineStr">
        <is>
          <t xml:space="preserve">11574960            </t>
        </is>
      </c>
      <c r="D1124" s="1" t="inlineStr">
        <is>
          <t>Читальный зал</t>
        </is>
      </c>
      <c r="E1124" s="1" t="inlineStr">
        <is>
          <t>Игрок. Достоевский Ф.М.</t>
        </is>
      </c>
      <c r="F1124" s="13" t="inlineStr">
        <is>
          <t>См.обл.</t>
        </is>
      </c>
      <c r="G1124" s="1" t="inlineStr">
        <is>
          <t>Достоевский Ф.М.</t>
        </is>
      </c>
      <c r="H1124" s="1" t="inlineStr">
        <is>
          <t>84х108/32</t>
        </is>
      </c>
      <c r="I1124" s="1" t="n">
        <v>224</v>
      </c>
      <c r="J1124" s="1" t="inlineStr">
        <is>
          <t>РИПОЛ Классик</t>
        </is>
      </c>
      <c r="M1124" s="1" t="inlineStr">
        <is>
          <t>2026</t>
        </is>
      </c>
      <c r="N1124" s="1" t="inlineStr">
        <is>
          <t>П</t>
        </is>
      </c>
      <c r="O1124" s="9" t="n">
        <v>14</v>
      </c>
      <c r="P1124" s="1">
        <f>ROUNDUP(979*(1-$F$3),2)</f>
        <v/>
      </c>
      <c r="Q1124" s="1" t="inlineStr">
        <is>
          <t> </t>
        </is>
      </c>
      <c r="R1124" s="1" t="inlineStr">
        <is>
          <t>978-5-386-15239-0</t>
        </is>
      </c>
      <c r="S1124" s="1" t="inlineStr">
        <is>
          <t>9785386152390</t>
        </is>
      </c>
      <c r="T1124" s="9" t="n">
        <v>10</v>
      </c>
      <c r="U1124" s="1">
        <f>ROUNDUP(890*(1-$F$3),2)</f>
        <v/>
      </c>
      <c r="V1124" s="1" t="n">
        <v>271</v>
      </c>
      <c r="Y1124" s="1" t="inlineStr">
        <is>
          <t>Игрок</t>
        </is>
      </c>
      <c r="Z1124" s="1" t="inlineStr">
        <is>
          <t>16+</t>
        </is>
      </c>
      <c r="AA1124" s="12" t="n">
        <v>45635</v>
      </c>
      <c r="AB1124" s="1" t="inlineStr">
        <is>
          <t>Художественная литература</t>
        </is>
      </c>
      <c r="AC1124" s="1" t="inlineStr">
        <is>
          <t>Русская литература</t>
        </is>
      </c>
      <c r="AD1124" s="1" t="inlineStr">
        <is>
          <t>Русская литература XVIII-нач. XX вв. (до 1917 г.)</t>
        </is>
      </c>
      <c r="AE1124" s="1" t="inlineStr">
        <is>
          <t>офсетная</t>
        </is>
      </c>
      <c r="AG1124" s="1" t="n">
        <v>11574960</v>
      </c>
      <c r="AI1124" s="1" t="inlineStr">
        <is>
          <t>4901990000</t>
        </is>
      </c>
    </row>
    <row r="1125" customFormat="1" s="1">
      <c r="C1125" s="1" t="inlineStr">
        <is>
          <t xml:space="preserve">11610310            </t>
        </is>
      </c>
      <c r="D1125" s="1" t="inlineStr">
        <is>
          <t>Читальный зал</t>
        </is>
      </c>
      <c r="E1125" s="1" t="inlineStr">
        <is>
          <t>Исповедь. Толстой Л.Н.</t>
        </is>
      </c>
      <c r="F1125" s="13" t="inlineStr">
        <is>
          <t>См.обл.</t>
        </is>
      </c>
      <c r="G1125" s="1" t="inlineStr">
        <is>
          <t>Толстой Л.Н.</t>
        </is>
      </c>
      <c r="H1125" s="1" t="inlineStr">
        <is>
          <t>84х108/32</t>
        </is>
      </c>
      <c r="I1125" s="1" t="n">
        <v>288</v>
      </c>
      <c r="J1125" s="1" t="inlineStr">
        <is>
          <t>РИПОЛ Классик</t>
        </is>
      </c>
      <c r="M1125" s="1" t="inlineStr">
        <is>
          <t>2026</t>
        </is>
      </c>
      <c r="N1125" s="1" t="inlineStr">
        <is>
          <t>П</t>
        </is>
      </c>
      <c r="O1125" s="9" t="n">
        <v>12</v>
      </c>
      <c r="P1125" s="1">
        <f>ROUNDUP(1040*(1-$F$3),2)</f>
        <v/>
      </c>
      <c r="Q1125" s="1" t="inlineStr">
        <is>
          <t> </t>
        </is>
      </c>
      <c r="R1125" s="1" t="inlineStr">
        <is>
          <t>978-5-386-15394-6</t>
        </is>
      </c>
      <c r="S1125" s="1" t="inlineStr">
        <is>
          <t>9785386153946</t>
        </is>
      </c>
      <c r="T1125" s="9" t="n">
        <v>10</v>
      </c>
      <c r="U1125" s="1">
        <f>ROUNDUP(945.45*(1-$F$3),2)</f>
        <v/>
      </c>
      <c r="V1125" s="1" t="n">
        <v>313</v>
      </c>
      <c r="Y1125" s="1" t="inlineStr">
        <is>
          <t>Исповедь</t>
        </is>
      </c>
      <c r="Z1125" s="1" t="inlineStr">
        <is>
          <t>16+</t>
        </is>
      </c>
      <c r="AA1125" s="12" t="n">
        <v>45670</v>
      </c>
      <c r="AB1125" s="1" t="inlineStr">
        <is>
          <t>Художественная литература</t>
        </is>
      </c>
      <c r="AC1125" s="1" t="inlineStr">
        <is>
          <t>Русская литература</t>
        </is>
      </c>
      <c r="AD1125" s="1" t="inlineStr">
        <is>
          <t>Русская литература XVIII-нач. XX вв. (до 1917 г.)</t>
        </is>
      </c>
      <c r="AE1125" s="1" t="inlineStr">
        <is>
          <t>офсетная</t>
        </is>
      </c>
      <c r="AG1125" s="1" t="n">
        <v>11610310</v>
      </c>
      <c r="AI1125" s="1" t="inlineStr">
        <is>
          <t>4901990000</t>
        </is>
      </c>
    </row>
    <row r="1126" customFormat="1" s="1">
      <c r="C1126" s="1" t="inlineStr">
        <is>
          <t xml:space="preserve">11641940            </t>
        </is>
      </c>
      <c r="D1126" s="1" t="inlineStr">
        <is>
          <t>Читальный зал</t>
        </is>
      </c>
      <c r="E1126" s="1" t="inlineStr">
        <is>
          <t>Исследование о человеческом разумении. Юм Д.</t>
        </is>
      </c>
      <c r="F1126" s="13" t="inlineStr">
        <is>
          <t>См.обл.</t>
        </is>
      </c>
      <c r="G1126" s="1" t="inlineStr">
        <is>
          <t>Юм Д.</t>
        </is>
      </c>
      <c r="H1126" s="1" t="inlineStr">
        <is>
          <t>84х108/32</t>
        </is>
      </c>
      <c r="I1126" s="1" t="n">
        <v>240</v>
      </c>
      <c r="J1126" s="1" t="inlineStr">
        <is>
          <t>РИПОЛ Классик</t>
        </is>
      </c>
      <c r="M1126" s="1" t="inlineStr">
        <is>
          <t>2026</t>
        </is>
      </c>
      <c r="N1126" s="1" t="inlineStr">
        <is>
          <t>П</t>
        </is>
      </c>
      <c r="O1126" s="9" t="n">
        <v>12</v>
      </c>
      <c r="P1126" s="1">
        <f>ROUNDUP(830*(1-$F$3),2)</f>
        <v/>
      </c>
      <c r="Q1126" s="1" t="inlineStr">
        <is>
          <t> </t>
        </is>
      </c>
      <c r="R1126" s="1" t="inlineStr">
        <is>
          <t>978-5-386-15369-4</t>
        </is>
      </c>
      <c r="S1126" s="1" t="inlineStr">
        <is>
          <t>9785386153694</t>
        </is>
      </c>
      <c r="T1126" s="9" t="n">
        <v>10</v>
      </c>
      <c r="U1126" s="1">
        <f>ROUNDUP(754.55*(1-$F$3),2)</f>
        <v/>
      </c>
      <c r="V1126" s="1" t="n">
        <v>282</v>
      </c>
      <c r="Y1126" s="1" t="inlineStr">
        <is>
          <t>Исследование о человеческом разумении</t>
        </is>
      </c>
      <c r="Z1126" s="1" t="inlineStr">
        <is>
          <t>16+</t>
        </is>
      </c>
      <c r="AA1126" s="12" t="n">
        <v>45700</v>
      </c>
      <c r="AB1126" s="1" t="inlineStr">
        <is>
          <t>Гуманитарные науки</t>
        </is>
      </c>
      <c r="AC1126" s="1" t="inlineStr">
        <is>
          <t>Философские науки</t>
        </is>
      </c>
      <c r="AD1126" s="1" t="inlineStr">
        <is>
          <t>Философия в целом. Труды</t>
        </is>
      </c>
      <c r="AE1126" s="1" t="inlineStr">
        <is>
          <t>офсетная</t>
        </is>
      </c>
      <c r="AG1126" s="1" t="n">
        <v>11641940</v>
      </c>
      <c r="AI1126" s="1" t="inlineStr">
        <is>
          <t>4901990000</t>
        </is>
      </c>
    </row>
    <row r="1127" customFormat="1" s="1">
      <c r="C1127" s="1" t="inlineStr">
        <is>
          <t xml:space="preserve">11708610            </t>
        </is>
      </c>
      <c r="D1127" s="1" t="inlineStr">
        <is>
          <t>Читальный зал</t>
        </is>
      </c>
      <c r="E1127" s="1" t="inlineStr">
        <is>
          <t>Мартин Иден. Лондон Дж.</t>
        </is>
      </c>
      <c r="F1127" s="13" t="inlineStr">
        <is>
          <t>См.обл.</t>
        </is>
      </c>
      <c r="G1127" s="1" t="inlineStr">
        <is>
          <t>Лондон Дж.</t>
        </is>
      </c>
      <c r="H1127" s="1" t="inlineStr">
        <is>
          <t>84х108/32</t>
        </is>
      </c>
      <c r="I1127" s="1" t="n">
        <v>544</v>
      </c>
      <c r="J1127" s="1" t="inlineStr">
        <is>
          <t>РИПОЛ Классик</t>
        </is>
      </c>
      <c r="M1127" s="1" t="inlineStr">
        <is>
          <t>2026</t>
        </is>
      </c>
      <c r="N1127" s="1" t="inlineStr">
        <is>
          <t>П</t>
        </is>
      </c>
      <c r="O1127" s="9" t="n">
        <v>4</v>
      </c>
      <c r="P1127" s="1">
        <f>ROUNDUP(1670*(1-$F$3),2)</f>
        <v/>
      </c>
      <c r="Q1127" s="1" t="inlineStr">
        <is>
          <t> </t>
        </is>
      </c>
      <c r="R1127" s="1" t="inlineStr">
        <is>
          <t>978-5-386-15398-4</t>
        </is>
      </c>
      <c r="S1127" s="1" t="inlineStr">
        <is>
          <t>9785386153984</t>
        </is>
      </c>
      <c r="T1127" s="9" t="n">
        <v>10</v>
      </c>
      <c r="U1127" s="1">
        <f>ROUNDUP(1518.18*(1-$F$3),2)</f>
        <v/>
      </c>
      <c r="V1127" s="1" t="n">
        <v>517</v>
      </c>
      <c r="Y1127" s="1" t="inlineStr">
        <is>
          <t>Мартин Иден</t>
        </is>
      </c>
      <c r="Z1127" s="1" t="inlineStr">
        <is>
          <t>16+</t>
        </is>
      </c>
      <c r="AA1127" s="12" t="n">
        <v>45756</v>
      </c>
      <c r="AB1127" s="1" t="inlineStr">
        <is>
          <t>Художественная литература</t>
        </is>
      </c>
      <c r="AC1127" s="1" t="inlineStr">
        <is>
          <t>Зарубежная литература</t>
        </is>
      </c>
      <c r="AD1127" s="1" t="inlineStr">
        <is>
          <t>Литература Америки и Австралии</t>
        </is>
      </c>
      <c r="AE1127" s="1" t="inlineStr">
        <is>
          <t>офсетная</t>
        </is>
      </c>
      <c r="AG1127" s="1" t="n">
        <v>11708610</v>
      </c>
      <c r="AI1127" s="1" t="inlineStr">
        <is>
          <t>4901990000</t>
        </is>
      </c>
    </row>
    <row r="1128" customFormat="1" s="1">
      <c r="C1128" s="1" t="inlineStr">
        <is>
          <t xml:space="preserve">11746610            </t>
        </is>
      </c>
      <c r="D1128" s="1" t="inlineStr">
        <is>
          <t>Читальный зал</t>
        </is>
      </c>
      <c r="E1128" s="1" t="inlineStr">
        <is>
          <t>Москва и москвичи. Гиляровский В.А.</t>
        </is>
      </c>
      <c r="F1128" s="13" t="inlineStr">
        <is>
          <t>См.обл.</t>
        </is>
      </c>
      <c r="G1128" s="1" t="inlineStr">
        <is>
          <t>Гиляровский В.А.</t>
        </is>
      </c>
      <c r="H1128" s="1" t="inlineStr">
        <is>
          <t>84х108/32</t>
        </is>
      </c>
      <c r="I1128" s="1" t="n">
        <v>496</v>
      </c>
      <c r="J1128" s="1" t="inlineStr">
        <is>
          <t>РИПОЛ Классик</t>
        </is>
      </c>
      <c r="M1128" s="1" t="inlineStr">
        <is>
          <t>2026</t>
        </is>
      </c>
      <c r="N1128" s="1" t="inlineStr">
        <is>
          <t>П</t>
        </is>
      </c>
      <c r="O1128" s="9" t="n">
        <v>4</v>
      </c>
      <c r="P1128" s="1">
        <f>ROUNDUP(1460*(1-$F$3),2)</f>
        <v/>
      </c>
      <c r="Q1128" s="1" t="inlineStr">
        <is>
          <t> </t>
        </is>
      </c>
      <c r="R1128" s="1" t="inlineStr">
        <is>
          <t>978-5-386-15384-7</t>
        </is>
      </c>
      <c r="S1128" s="1" t="inlineStr">
        <is>
          <t>9785386153847</t>
        </is>
      </c>
      <c r="T1128" s="9" t="n">
        <v>10</v>
      </c>
      <c r="U1128" s="1">
        <f>ROUNDUP(1327.27*(1-$F$3),2)</f>
        <v/>
      </c>
      <c r="V1128" s="1" t="n">
        <v>481</v>
      </c>
      <c r="Y1128" s="1" t="inlineStr">
        <is>
          <t>Москва и москвичи</t>
        </is>
      </c>
      <c r="Z1128" s="1" t="inlineStr">
        <is>
          <t>12+</t>
        </is>
      </c>
      <c r="AA1128" s="12" t="n">
        <v>45797</v>
      </c>
      <c r="AB1128" s="1" t="inlineStr">
        <is>
          <t>Художественная литература</t>
        </is>
      </c>
      <c r="AC1128" s="1" t="inlineStr">
        <is>
          <t>Русская литература</t>
        </is>
      </c>
      <c r="AD1128" s="1" t="inlineStr">
        <is>
          <t>Русская литература советского периода (1917-1991 гг.)</t>
        </is>
      </c>
      <c r="AE1128" s="1" t="inlineStr">
        <is>
          <t>офсетная</t>
        </is>
      </c>
      <c r="AG1128" s="1" t="n">
        <v>11746610</v>
      </c>
      <c r="AI1128" s="1" t="inlineStr">
        <is>
          <t>4901990000</t>
        </is>
      </c>
    </row>
    <row r="1129" customFormat="1" s="1">
      <c r="C1129" s="1" t="inlineStr">
        <is>
          <t xml:space="preserve">11610300            </t>
        </is>
      </c>
      <c r="D1129" s="1" t="inlineStr">
        <is>
          <t>Читальный зал</t>
        </is>
      </c>
      <c r="E1129" s="1" t="inlineStr">
        <is>
          <t>Моя жизнь. Чехов А.П.</t>
        </is>
      </c>
      <c r="F1129" s="13" t="inlineStr">
        <is>
          <t>См.обл.</t>
        </is>
      </c>
      <c r="G1129" s="1" t="inlineStr">
        <is>
          <t>Чехов А.П.</t>
        </is>
      </c>
      <c r="H1129" s="1" t="inlineStr">
        <is>
          <t>84х108/32</t>
        </is>
      </c>
      <c r="I1129" s="1" t="n">
        <v>320</v>
      </c>
      <c r="J1129" s="1" t="inlineStr">
        <is>
          <t>РИПОЛ Классик</t>
        </is>
      </c>
      <c r="M1129" s="1" t="inlineStr">
        <is>
          <t>2026</t>
        </is>
      </c>
      <c r="N1129" s="1" t="inlineStr">
        <is>
          <t>П</t>
        </is>
      </c>
      <c r="O1129" s="9" t="n">
        <v>10</v>
      </c>
      <c r="P1129" s="1">
        <f>ROUNDUP(1040*(1-$F$3),2)</f>
        <v/>
      </c>
      <c r="Q1129" s="1" t="inlineStr">
        <is>
          <t> </t>
        </is>
      </c>
      <c r="R1129" s="1" t="inlineStr">
        <is>
          <t>978-5-386-15395-3</t>
        </is>
      </c>
      <c r="S1129" s="1" t="inlineStr">
        <is>
          <t>9785386153953</t>
        </is>
      </c>
      <c r="T1129" s="9" t="n">
        <v>10</v>
      </c>
      <c r="U1129" s="1">
        <f>ROUNDUP(945.45*(1-$F$3),2)</f>
        <v/>
      </c>
      <c r="V1129" s="1" t="n">
        <v>343</v>
      </c>
      <c r="Y1129" s="1" t="inlineStr">
        <is>
          <t>Моя жизнь</t>
        </is>
      </c>
      <c r="Z1129" s="1" t="inlineStr">
        <is>
          <t>16+</t>
        </is>
      </c>
      <c r="AA1129" s="12" t="n">
        <v>45670</v>
      </c>
      <c r="AB1129" s="1" t="inlineStr">
        <is>
          <t>Художественная литература</t>
        </is>
      </c>
      <c r="AC1129" s="1" t="inlineStr">
        <is>
          <t>Русская литература</t>
        </is>
      </c>
      <c r="AD1129" s="1" t="inlineStr">
        <is>
          <t>Русская литература XVIII-нач. XX вв. (до 1917 г.)</t>
        </is>
      </c>
      <c r="AE1129" s="1" t="inlineStr">
        <is>
          <t>офсетная</t>
        </is>
      </c>
      <c r="AG1129" s="1" t="n">
        <v>11610300</v>
      </c>
      <c r="AI1129" s="1" t="inlineStr">
        <is>
          <t>4901990000</t>
        </is>
      </c>
    </row>
    <row r="1130" customFormat="1" s="1">
      <c r="C1130" s="1" t="inlineStr">
        <is>
          <t xml:space="preserve">11704820            </t>
        </is>
      </c>
      <c r="D1130" s="1" t="inlineStr">
        <is>
          <t>Читальный зал</t>
        </is>
      </c>
      <c r="E1130" s="1" t="inlineStr">
        <is>
          <t>Мысли. Паскаль Б.</t>
        </is>
      </c>
      <c r="F1130" s="13" t="inlineStr">
        <is>
          <t>См.обл.</t>
        </is>
      </c>
      <c r="G1130" s="1" t="inlineStr">
        <is>
          <t>Паскаль Б.</t>
        </is>
      </c>
      <c r="H1130" s="1" t="inlineStr">
        <is>
          <t>84х108/32</t>
        </is>
      </c>
      <c r="I1130" s="1" t="n">
        <v>432</v>
      </c>
      <c r="J1130" s="1" t="inlineStr">
        <is>
          <t>РИПОЛ Классик</t>
        </is>
      </c>
      <c r="M1130" s="1" t="inlineStr">
        <is>
          <t>2026</t>
        </is>
      </c>
      <c r="N1130" s="1" t="inlineStr">
        <is>
          <t>П</t>
        </is>
      </c>
      <c r="O1130" s="9" t="n">
        <v>8</v>
      </c>
      <c r="P1130" s="1">
        <f>ROUNDUP(1420*(1-$F$3),2)</f>
        <v/>
      </c>
      <c r="Q1130" s="1" t="inlineStr">
        <is>
          <t> </t>
        </is>
      </c>
      <c r="R1130" s="1" t="inlineStr">
        <is>
          <t>978-5-386-15353-3</t>
        </is>
      </c>
      <c r="S1130" s="1" t="inlineStr">
        <is>
          <t>9785386153533</t>
        </is>
      </c>
      <c r="T1130" s="9" t="n">
        <v>10</v>
      </c>
      <c r="U1130" s="1">
        <f>ROUNDUP(1290.91*(1-$F$3),2)</f>
        <v/>
      </c>
      <c r="V1130" s="1" t="n">
        <v>415</v>
      </c>
      <c r="Y1130" s="1" t="inlineStr">
        <is>
          <t>Мысли</t>
        </is>
      </c>
      <c r="Z1130" s="1" t="inlineStr">
        <is>
          <t>16+</t>
        </is>
      </c>
      <c r="AA1130" s="12" t="n">
        <v>45749</v>
      </c>
      <c r="AB1130" s="1" t="inlineStr">
        <is>
          <t>Гуманитарные науки</t>
        </is>
      </c>
      <c r="AC1130" s="1" t="inlineStr">
        <is>
          <t>Философские науки</t>
        </is>
      </c>
      <c r="AD1130" s="1" t="inlineStr">
        <is>
          <t>Философия в целом. Труды</t>
        </is>
      </c>
      <c r="AE1130" s="1" t="inlineStr">
        <is>
          <t>офсетная</t>
        </is>
      </c>
      <c r="AG1130" s="1" t="n">
        <v>11704820</v>
      </c>
      <c r="AI1130" s="1" t="inlineStr">
        <is>
          <t>4901990000</t>
        </is>
      </c>
    </row>
    <row r="1131" customFormat="1" s="1">
      <c r="C1131" s="1" t="inlineStr">
        <is>
          <t xml:space="preserve">11502870            </t>
        </is>
      </c>
      <c r="D1131" s="1" t="inlineStr">
        <is>
          <t>Читальный зал</t>
        </is>
      </c>
      <c r="E1131" s="1" t="inlineStr">
        <is>
          <t>Несвоевременные мысли. Горький М.</t>
        </is>
      </c>
      <c r="F1131" s="13" t="inlineStr">
        <is>
          <t>См.обл.</t>
        </is>
      </c>
      <c r="G1131" s="1" t="inlineStr">
        <is>
          <t>Горький М.</t>
        </is>
      </c>
      <c r="H1131" s="1" t="inlineStr">
        <is>
          <t>84х108/32</t>
        </is>
      </c>
      <c r="I1131" s="1" t="n">
        <v>272</v>
      </c>
      <c r="J1131" s="1" t="inlineStr">
        <is>
          <t>РИПОЛ Классик</t>
        </is>
      </c>
      <c r="M1131" s="1" t="inlineStr">
        <is>
          <t>2026</t>
        </is>
      </c>
      <c r="N1131" s="1" t="inlineStr">
        <is>
          <t>П</t>
        </is>
      </c>
      <c r="O1131" s="9" t="n">
        <v>12</v>
      </c>
      <c r="P1131" s="1">
        <f>ROUNDUP(1210*(1-$F$3),2)</f>
        <v/>
      </c>
      <c r="Q1131" s="1" t="inlineStr">
        <is>
          <t> </t>
        </is>
      </c>
      <c r="R1131" s="1" t="inlineStr">
        <is>
          <t>978-5-386-15242-0</t>
        </is>
      </c>
      <c r="S1131" s="1" t="inlineStr">
        <is>
          <t>9785386152420</t>
        </is>
      </c>
      <c r="T1131" s="9" t="n">
        <v>10</v>
      </c>
      <c r="U1131" s="1">
        <f>ROUNDUP(1100*(1-$F$3),2)</f>
        <v/>
      </c>
      <c r="V1131" s="1" t="n">
        <v>305</v>
      </c>
      <c r="Y1131" s="1" t="inlineStr">
        <is>
          <t>Несвоевременные мысли</t>
        </is>
      </c>
      <c r="Z1131" s="1" t="inlineStr">
        <is>
          <t>16+</t>
        </is>
      </c>
      <c r="AA1131" s="12" t="n">
        <v>45594</v>
      </c>
      <c r="AB1131" s="1" t="inlineStr">
        <is>
          <t>Художественно-документальная проза</t>
        </is>
      </c>
      <c r="AC1131" s="1" t="inlineStr">
        <is>
          <t>Публицистика</t>
        </is>
      </c>
      <c r="AD1131" s="1" t="inlineStr">
        <is>
          <t>Общественно-политическая публицистика</t>
        </is>
      </c>
      <c r="AE1131" s="1" t="inlineStr">
        <is>
          <t>офсетная</t>
        </is>
      </c>
      <c r="AG1131" s="1" t="n">
        <v>11502870</v>
      </c>
      <c r="AI1131" s="1" t="inlineStr">
        <is>
          <t>4901990000</t>
        </is>
      </c>
    </row>
    <row r="1132" customFormat="1" s="1">
      <c r="C1132" s="1" t="inlineStr">
        <is>
          <t xml:space="preserve">11612270            </t>
        </is>
      </c>
      <c r="D1132" s="1" t="inlineStr">
        <is>
          <t>Читальный зал</t>
        </is>
      </c>
      <c r="E1132" s="1" t="inlineStr">
        <is>
          <t>Одноэтажная Америка. Ильф И.А., Петров Е.П.</t>
        </is>
      </c>
      <c r="F1132" s="13" t="inlineStr">
        <is>
          <t>См.обл.</t>
        </is>
      </c>
      <c r="G1132" s="1" t="inlineStr">
        <is>
          <t>Ильф И.А., Петров Е.П.</t>
        </is>
      </c>
      <c r="H1132" s="1" t="inlineStr">
        <is>
          <t>84х108/32</t>
        </is>
      </c>
      <c r="I1132" s="1" t="n">
        <v>560</v>
      </c>
      <c r="J1132" s="1" t="inlineStr">
        <is>
          <t>РИПОЛ Классик</t>
        </is>
      </c>
      <c r="M1132" s="1" t="inlineStr">
        <is>
          <t>2026</t>
        </is>
      </c>
      <c r="N1132" s="1" t="inlineStr">
        <is>
          <t>П</t>
        </is>
      </c>
      <c r="O1132" s="9" t="n">
        <v>6</v>
      </c>
      <c r="P1132" s="1">
        <f>ROUNDUP(1560*(1-$F$3),2)</f>
        <v/>
      </c>
      <c r="Q1132" s="1" t="inlineStr">
        <is>
          <t> </t>
        </is>
      </c>
      <c r="R1132" s="1" t="inlineStr">
        <is>
          <t>978-5-386-15396-0</t>
        </is>
      </c>
      <c r="S1132" s="1" t="inlineStr">
        <is>
          <t>9785386153960</t>
        </is>
      </c>
      <c r="T1132" s="9" t="n">
        <v>10</v>
      </c>
      <c r="U1132" s="1">
        <f>ROUNDUP(1418.18*(1-$F$3),2)</f>
        <v/>
      </c>
      <c r="V1132" s="1" t="n">
        <v>531</v>
      </c>
      <c r="Y1132" s="1" t="inlineStr">
        <is>
          <t>Одноэтажная Америка</t>
        </is>
      </c>
      <c r="Z1132" s="1" t="inlineStr">
        <is>
          <t>16+</t>
        </is>
      </c>
      <c r="AA1132" s="12" t="n">
        <v>45670</v>
      </c>
      <c r="AB1132" s="1" t="inlineStr">
        <is>
          <t>Художественная литература</t>
        </is>
      </c>
      <c r="AC1132" s="1" t="inlineStr">
        <is>
          <t>Русская литература</t>
        </is>
      </c>
      <c r="AD1132" s="1" t="inlineStr">
        <is>
          <t>Русская литература советского периода (1917-1991 гг.)</t>
        </is>
      </c>
      <c r="AE1132" s="1" t="inlineStr">
        <is>
          <t>офсетная</t>
        </is>
      </c>
      <c r="AG1132" s="1" t="n">
        <v>11612270</v>
      </c>
      <c r="AI1132" s="1" t="inlineStr">
        <is>
          <t>4901990000</t>
        </is>
      </c>
    </row>
    <row r="1133" customFormat="1" s="1">
      <c r="C1133" s="1" t="inlineStr">
        <is>
          <t xml:space="preserve">11496020            </t>
        </is>
      </c>
      <c r="D1133" s="1" t="inlineStr">
        <is>
          <t>Читальный зал</t>
        </is>
      </c>
      <c r="E1133" s="1" t="inlineStr">
        <is>
          <t>Парижский сплин. Стихотворения в прозе. Бодлер Ш.</t>
        </is>
      </c>
      <c r="F1133" s="13" t="inlineStr">
        <is>
          <t>См.обл.</t>
        </is>
      </c>
      <c r="G1133" s="1" t="inlineStr">
        <is>
          <t>Бодлер Ш.</t>
        </is>
      </c>
      <c r="H1133" s="1" t="inlineStr">
        <is>
          <t>84х108/32</t>
        </is>
      </c>
      <c r="I1133" s="1" t="n">
        <v>160</v>
      </c>
      <c r="J1133" s="1" t="inlineStr">
        <is>
          <t>РИПОЛ Классик</t>
        </is>
      </c>
      <c r="M1133" s="1" t="inlineStr">
        <is>
          <t>2026</t>
        </is>
      </c>
      <c r="N1133" s="1" t="inlineStr">
        <is>
          <t>П</t>
        </is>
      </c>
      <c r="O1133" s="9" t="n">
        <v>18</v>
      </c>
      <c r="P1133" s="1">
        <f>ROUNDUP(1160.5*(1-$F$3),2)</f>
        <v/>
      </c>
      <c r="Q1133" s="1" t="inlineStr">
        <is>
          <t> </t>
        </is>
      </c>
      <c r="R1133" s="1" t="inlineStr">
        <is>
          <t>978-5-386-15224-6</t>
        </is>
      </c>
      <c r="S1133" s="1" t="inlineStr">
        <is>
          <t>9785386152246</t>
        </is>
      </c>
      <c r="T1133" s="9" t="n">
        <v>10</v>
      </c>
      <c r="U1133" s="1">
        <f>ROUNDUP(1055*(1-$F$3),2)</f>
        <v/>
      </c>
      <c r="V1133" s="1" t="n">
        <v>219</v>
      </c>
      <c r="Y1133" s="1" t="inlineStr">
        <is>
          <t>Парижский сплин. Стихотворения в прозе</t>
        </is>
      </c>
      <c r="Z1133" s="1" t="inlineStr">
        <is>
          <t>16+</t>
        </is>
      </c>
      <c r="AA1133" s="12" t="n">
        <v>45580</v>
      </c>
      <c r="AB1133" s="1" t="inlineStr">
        <is>
          <t>Художественная литература</t>
        </is>
      </c>
      <c r="AC1133" s="1" t="inlineStr">
        <is>
          <t>Зарубежная литература</t>
        </is>
      </c>
      <c r="AD1133" s="1" t="inlineStr">
        <is>
          <t>Европейская литература</t>
        </is>
      </c>
      <c r="AE1133" s="1" t="inlineStr">
        <is>
          <t>офсетная</t>
        </is>
      </c>
      <c r="AG1133" s="1" t="n">
        <v>11496020</v>
      </c>
      <c r="AI1133" s="1" t="inlineStr">
        <is>
          <t>4901990000</t>
        </is>
      </c>
    </row>
    <row r="1134" customFormat="1" s="1">
      <c r="C1134" s="1" t="inlineStr">
        <is>
          <t xml:space="preserve">11575610            </t>
        </is>
      </c>
      <c r="D1134" s="1" t="inlineStr">
        <is>
          <t>Читальный зал</t>
        </is>
      </c>
      <c r="E1134" s="1" t="inlineStr">
        <is>
          <t>Политика как призвание и профессия. Вебер М.</t>
        </is>
      </c>
      <c r="F1134" s="13" t="inlineStr">
        <is>
          <t>См.обл.</t>
        </is>
      </c>
      <c r="G1134" s="1" t="inlineStr">
        <is>
          <t>Вебер М.</t>
        </is>
      </c>
      <c r="H1134" s="1" t="inlineStr">
        <is>
          <t>84х108/32</t>
        </is>
      </c>
      <c r="I1134" s="1" t="n">
        <v>292</v>
      </c>
      <c r="J1134" s="1" t="inlineStr">
        <is>
          <t>РИПОЛ Классик</t>
        </is>
      </c>
      <c r="M1134" s="1" t="inlineStr">
        <is>
          <t>2026</t>
        </is>
      </c>
      <c r="N1134" s="1" t="inlineStr">
        <is>
          <t>П</t>
        </is>
      </c>
      <c r="O1134" s="9" t="n">
        <v>4</v>
      </c>
      <c r="P1134" s="1">
        <f>ROUNDUP(1089*(1-$F$3),2)</f>
        <v/>
      </c>
      <c r="Q1134" s="1" t="inlineStr">
        <is>
          <t> </t>
        </is>
      </c>
      <c r="R1134" s="1" t="inlineStr">
        <is>
          <t>978-5-386-15214-7</t>
        </is>
      </c>
      <c r="S1134" s="1" t="inlineStr">
        <is>
          <t>9785386152147</t>
        </is>
      </c>
      <c r="T1134" s="9" t="n">
        <v>10</v>
      </c>
      <c r="U1134" s="1">
        <f>ROUNDUP(990*(1-$F$3),2)</f>
        <v/>
      </c>
      <c r="V1134" s="1" t="n">
        <v>324</v>
      </c>
      <c r="Y1134" s="1" t="inlineStr">
        <is>
          <t>Политика как призвание и профессия</t>
        </is>
      </c>
      <c r="Z1134" s="1" t="inlineStr">
        <is>
          <t>16+</t>
        </is>
      </c>
      <c r="AA1134" s="12" t="n">
        <v>45635</v>
      </c>
      <c r="AB1134" s="1" t="inlineStr">
        <is>
          <t>Общественные науки</t>
        </is>
      </c>
      <c r="AC1134" s="1" t="inlineStr">
        <is>
          <t>Политика</t>
        </is>
      </c>
      <c r="AD1134" s="1" t="inlineStr">
        <is>
          <t>История политической мысли</t>
        </is>
      </c>
      <c r="AE1134" s="1" t="inlineStr">
        <is>
          <t>офсетная</t>
        </is>
      </c>
      <c r="AG1134" s="1" t="n">
        <v>11575610</v>
      </c>
      <c r="AI1134" s="1" t="inlineStr">
        <is>
          <t>4901990000</t>
        </is>
      </c>
    </row>
    <row r="1135" customFormat="1" s="1">
      <c r="C1135" s="1" t="inlineStr">
        <is>
          <t xml:space="preserve">11476230            </t>
        </is>
      </c>
      <c r="D1135" s="1" t="inlineStr">
        <is>
          <t>Читальный зал</t>
        </is>
      </c>
      <c r="E1135" s="1" t="inlineStr">
        <is>
          <t>Поэзия и правда. Из моей жизни. Гете И.В.</t>
        </is>
      </c>
      <c r="F1135" s="13" t="inlineStr">
        <is>
          <t>См.обл.</t>
        </is>
      </c>
      <c r="G1135" s="1" t="inlineStr">
        <is>
          <t>Гете И.В.</t>
        </is>
      </c>
      <c r="H1135" s="1" t="inlineStr">
        <is>
          <t>84х108/32</t>
        </is>
      </c>
      <c r="I1135" s="1" t="n">
        <v>352</v>
      </c>
      <c r="J1135" s="1" t="inlineStr">
        <is>
          <t>РИПОЛ Классик</t>
        </is>
      </c>
      <c r="M1135" s="1" t="inlineStr">
        <is>
          <t>2025</t>
        </is>
      </c>
      <c r="N1135" s="1" t="inlineStr">
        <is>
          <t>П</t>
        </is>
      </c>
      <c r="O1135" s="9" t="n">
        <v>5</v>
      </c>
      <c r="P1135" s="1">
        <f>ROUNDUP(1370*(1-$F$3),2)</f>
        <v/>
      </c>
      <c r="Q1135" s="1" t="inlineStr">
        <is>
          <t> </t>
        </is>
      </c>
      <c r="R1135" s="1" t="inlineStr">
        <is>
          <t>978-5-386-15241-3</t>
        </is>
      </c>
      <c r="S1135" s="1" t="inlineStr">
        <is>
          <t>9785386152413</t>
        </is>
      </c>
      <c r="T1135" s="9" t="n">
        <v>10</v>
      </c>
      <c r="U1135" s="1">
        <f>ROUNDUP(1245.45*(1-$F$3),2)</f>
        <v/>
      </c>
      <c r="V1135" s="1" t="n">
        <v>389</v>
      </c>
      <c r="Y1135" s="1" t="inlineStr">
        <is>
          <t>Поэзия и правда. Из моей жизни</t>
        </is>
      </c>
      <c r="Z1135" s="1" t="inlineStr">
        <is>
          <t>16+</t>
        </is>
      </c>
      <c r="AA1135" s="12" t="n">
        <v>45565</v>
      </c>
      <c r="AB1135" s="1" t="inlineStr">
        <is>
          <t>Художественно-документальная проза</t>
        </is>
      </c>
      <c r="AC1135" s="1" t="inlineStr">
        <is>
          <t>Биографии. Мемуары</t>
        </is>
      </c>
      <c r="AD1135" s="1" t="inlineStr">
        <is>
          <t>Воспоминания. Дневники. Письма</t>
        </is>
      </c>
      <c r="AE1135" s="1" t="inlineStr">
        <is>
          <t>офсетная</t>
        </is>
      </c>
      <c r="AG1135" s="1" t="n">
        <v>11476230</v>
      </c>
      <c r="AI1135" s="1" t="inlineStr">
        <is>
          <t>4901990000</t>
        </is>
      </c>
    </row>
    <row r="1136" customFormat="1" s="1">
      <c r="C1136" s="1" t="inlineStr">
        <is>
          <t xml:space="preserve">11572430            </t>
        </is>
      </c>
      <c r="D1136" s="1" t="inlineStr">
        <is>
          <t>Читальный зал</t>
        </is>
      </c>
      <c r="E1136" s="1" t="inlineStr">
        <is>
          <t>Речи бунтовщика. Кропоткин П.А.</t>
        </is>
      </c>
      <c r="F1136" s="13" t="inlineStr">
        <is>
          <t>См.обл.</t>
        </is>
      </c>
      <c r="G1136" s="1" t="inlineStr">
        <is>
          <t>Кропоткин П.А.</t>
        </is>
      </c>
      <c r="H1136" s="1" t="inlineStr">
        <is>
          <t>84х108/32</t>
        </is>
      </c>
      <c r="I1136" s="1" t="n">
        <v>400</v>
      </c>
      <c r="J1136" s="1" t="inlineStr">
        <is>
          <t>РИПОЛ Классик</t>
        </is>
      </c>
      <c r="M1136" s="1" t="inlineStr">
        <is>
          <t>2026</t>
        </is>
      </c>
      <c r="N1136" s="1" t="inlineStr">
        <is>
          <t>П</t>
        </is>
      </c>
      <c r="O1136" s="9" t="n">
        <v>4</v>
      </c>
      <c r="P1136" s="1">
        <f>ROUNDUP(1210*(1-$F$3),2)</f>
        <v/>
      </c>
      <c r="Q1136" s="1" t="inlineStr">
        <is>
          <t> </t>
        </is>
      </c>
      <c r="R1136" s="1" t="inlineStr">
        <is>
          <t>978-5-386-15380-9</t>
        </is>
      </c>
      <c r="S1136" s="1" t="inlineStr">
        <is>
          <t>9785386153809</t>
        </is>
      </c>
      <c r="T1136" s="9" t="n">
        <v>10</v>
      </c>
      <c r="U1136" s="1">
        <f>ROUNDUP(1100*(1-$F$3),2)</f>
        <v/>
      </c>
      <c r="V1136" s="1" t="n">
        <v>405</v>
      </c>
      <c r="Y1136" s="1" t="inlineStr">
        <is>
          <t>Речи бунтовщика</t>
        </is>
      </c>
      <c r="Z1136" s="1" t="inlineStr">
        <is>
          <t>16+</t>
        </is>
      </c>
      <c r="AA1136" s="12" t="n">
        <v>45635</v>
      </c>
      <c r="AB1136" s="1" t="inlineStr">
        <is>
          <t>Гуманитарные науки</t>
        </is>
      </c>
      <c r="AC1136" s="1" t="inlineStr">
        <is>
          <t>Философские науки</t>
        </is>
      </c>
      <c r="AD1136" s="1" t="inlineStr">
        <is>
          <t>Политическая философия</t>
        </is>
      </c>
      <c r="AE1136" s="1" t="inlineStr">
        <is>
          <t>офсетная</t>
        </is>
      </c>
      <c r="AG1136" s="1" t="n">
        <v>11572430</v>
      </c>
      <c r="AI1136" s="1" t="inlineStr">
        <is>
          <t>4901990000</t>
        </is>
      </c>
    </row>
    <row r="1137" customFormat="1" s="1">
      <c r="C1137" s="1" t="inlineStr">
        <is>
          <t xml:space="preserve">11388100            </t>
        </is>
      </c>
      <c r="D1137" s="1" t="inlineStr">
        <is>
          <t>Читальный зал</t>
        </is>
      </c>
      <c r="E1137" s="1" t="inlineStr">
        <is>
          <t>Речи бунтовщика. Кропоткин П.А.</t>
        </is>
      </c>
      <c r="F1137" s="13" t="inlineStr">
        <is>
          <t>См.обл.</t>
        </is>
      </c>
      <c r="G1137" s="1" t="inlineStr">
        <is>
          <t>Кропоткин П.А.</t>
        </is>
      </c>
      <c r="H1137" s="1" t="inlineStr">
        <is>
          <t>84х108/32</t>
        </is>
      </c>
      <c r="I1137" s="1" t="n">
        <v>400</v>
      </c>
      <c r="J1137" s="1" t="inlineStr">
        <is>
          <t>РИПОЛ Классик</t>
        </is>
      </c>
      <c r="M1137" s="1" t="inlineStr">
        <is>
          <t>2024</t>
        </is>
      </c>
      <c r="N1137" s="1" t="inlineStr">
        <is>
          <t>П</t>
        </is>
      </c>
      <c r="O1137" s="9" t="n">
        <v>10</v>
      </c>
      <c r="P1137" s="1">
        <f>ROUNDUP(1170*(1-$F$3),2)</f>
        <v/>
      </c>
      <c r="Q1137" s="1" t="inlineStr">
        <is>
          <t> </t>
        </is>
      </c>
      <c r="R1137" s="1" t="inlineStr">
        <is>
          <t>978-5-386-15213-0</t>
        </is>
      </c>
      <c r="S1137" s="1" t="inlineStr">
        <is>
          <t>9785386152130</t>
        </is>
      </c>
      <c r="T1137" s="9" t="n">
        <v>10</v>
      </c>
      <c r="U1137" s="1">
        <f>ROUNDUP(1063.64*(1-$F$3),2)</f>
        <v/>
      </c>
      <c r="V1137" s="1" t="n">
        <v>439</v>
      </c>
      <c r="Y1137" s="1" t="inlineStr">
        <is>
          <t>Речи бунтовщика</t>
        </is>
      </c>
      <c r="Z1137" s="1" t="inlineStr">
        <is>
          <t>16+</t>
        </is>
      </c>
      <c r="AA1137" s="12" t="n">
        <v>45467</v>
      </c>
      <c r="AB1137" s="1" t="inlineStr">
        <is>
          <t>Гуманитарные науки</t>
        </is>
      </c>
      <c r="AC1137" s="1" t="inlineStr">
        <is>
          <t>Философские науки</t>
        </is>
      </c>
      <c r="AD1137" s="1" t="inlineStr">
        <is>
          <t>Политическая философия</t>
        </is>
      </c>
      <c r="AE1137" s="1" t="inlineStr">
        <is>
          <t>офсетная</t>
        </is>
      </c>
      <c r="AG1137" s="1" t="n">
        <v>11388100</v>
      </c>
      <c r="AI1137" s="1" t="inlineStr">
        <is>
          <t>4901990000</t>
        </is>
      </c>
    </row>
    <row r="1138" customFormat="1" s="1">
      <c r="C1138" s="1" t="inlineStr">
        <is>
          <t xml:space="preserve">11568580            </t>
        </is>
      </c>
      <c r="D1138" s="1" t="inlineStr">
        <is>
          <t>Читальный зал</t>
        </is>
      </c>
      <c r="E1138" s="1" t="inlineStr">
        <is>
          <t>Слепые. Метерлинк М.</t>
        </is>
      </c>
      <c r="F1138" s="13" t="inlineStr">
        <is>
          <t>См.обл.</t>
        </is>
      </c>
      <c r="G1138" s="1" t="inlineStr">
        <is>
          <t>Метерлинк М.</t>
        </is>
      </c>
      <c r="H1138" s="1" t="inlineStr">
        <is>
          <t>84х108/32</t>
        </is>
      </c>
      <c r="I1138" s="1" t="n">
        <v>304</v>
      </c>
      <c r="J1138" s="1" t="inlineStr">
        <is>
          <t>РИПОЛ Классик</t>
        </is>
      </c>
      <c r="M1138" s="1" t="inlineStr">
        <is>
          <t>2026</t>
        </is>
      </c>
      <c r="N1138" s="1" t="inlineStr">
        <is>
          <t>П</t>
        </is>
      </c>
      <c r="O1138" s="9" t="n">
        <v>10</v>
      </c>
      <c r="P1138" s="1">
        <f>ROUNDUP(1089*(1-$F$3),2)</f>
        <v/>
      </c>
      <c r="Q1138" s="1" t="inlineStr">
        <is>
          <t> </t>
        </is>
      </c>
      <c r="R1138" s="1" t="inlineStr">
        <is>
          <t>978-5-386-15376-2</t>
        </is>
      </c>
      <c r="S1138" s="1" t="inlineStr">
        <is>
          <t>9785386153762</t>
        </is>
      </c>
      <c r="T1138" s="9" t="n">
        <v>10</v>
      </c>
      <c r="U1138" s="1">
        <f>ROUNDUP(990*(1-$F$3),2)</f>
        <v/>
      </c>
      <c r="V1138" s="1" t="n">
        <v>331</v>
      </c>
      <c r="Y1138" s="1" t="inlineStr">
        <is>
          <t>Слепые</t>
        </is>
      </c>
      <c r="Z1138" s="1" t="inlineStr">
        <is>
          <t>16+</t>
        </is>
      </c>
      <c r="AA1138" s="12" t="n">
        <v>45617</v>
      </c>
      <c r="AB1138" s="1" t="inlineStr">
        <is>
          <t>Художественная литература</t>
        </is>
      </c>
      <c r="AC1138" s="1" t="inlineStr">
        <is>
          <t>Драматургия</t>
        </is>
      </c>
      <c r="AD1138" s="1" t="inlineStr">
        <is>
          <t>Зарубежная драматургия</t>
        </is>
      </c>
      <c r="AE1138" s="1" t="inlineStr">
        <is>
          <t>офсетная</t>
        </is>
      </c>
      <c r="AG1138" s="1" t="n">
        <v>11568580</v>
      </c>
      <c r="AI1138" s="1" t="inlineStr">
        <is>
          <t>4901990000</t>
        </is>
      </c>
    </row>
    <row r="1139" customFormat="1" s="1">
      <c r="C1139" s="1" t="inlineStr">
        <is>
          <t xml:space="preserve">11570430            </t>
        </is>
      </c>
      <c r="D1139" s="1" t="inlineStr">
        <is>
          <t>Читальный зал</t>
        </is>
      </c>
      <c r="E1139" s="1" t="inlineStr">
        <is>
          <t>Смысл любви. Соловьев В.С.</t>
        </is>
      </c>
      <c r="F1139" s="13" t="inlineStr">
        <is>
          <t>См.обл.</t>
        </is>
      </c>
      <c r="G1139" s="1" t="inlineStr">
        <is>
          <t>Соловьев В.С.</t>
        </is>
      </c>
      <c r="H1139" s="1" t="inlineStr">
        <is>
          <t>84х108/32</t>
        </is>
      </c>
      <c r="I1139" s="1" t="n">
        <v>352</v>
      </c>
      <c r="J1139" s="1" t="inlineStr">
        <is>
          <t>РИПОЛ Классик</t>
        </is>
      </c>
      <c r="M1139" s="1" t="inlineStr">
        <is>
          <t>2026</t>
        </is>
      </c>
      <c r="N1139" s="1" t="inlineStr">
        <is>
          <t>П</t>
        </is>
      </c>
      <c r="O1139" s="9" t="n">
        <v>4</v>
      </c>
      <c r="P1139" s="1">
        <f>ROUNDUP(1000*(1-$F$3),2)</f>
        <v/>
      </c>
      <c r="Q1139" s="1" t="inlineStr">
        <is>
          <t> </t>
        </is>
      </c>
      <c r="R1139" s="1" t="inlineStr">
        <is>
          <t>978-5-386-15381-6</t>
        </is>
      </c>
      <c r="S1139" s="1" t="inlineStr">
        <is>
          <t>9785386153816</t>
        </is>
      </c>
      <c r="T1139" s="9" t="n">
        <v>10</v>
      </c>
      <c r="U1139" s="1">
        <f>ROUNDUP(909.09*(1-$F$3),2)</f>
        <v/>
      </c>
      <c r="V1139" s="1" t="n">
        <v>369</v>
      </c>
      <c r="Y1139" s="1" t="inlineStr">
        <is>
          <t>Смысл любви</t>
        </is>
      </c>
      <c r="Z1139" s="1" t="inlineStr">
        <is>
          <t>16+</t>
        </is>
      </c>
      <c r="AA1139" s="12" t="n">
        <v>45624</v>
      </c>
      <c r="AB1139" s="1" t="inlineStr">
        <is>
          <t>Гуманитарные науки</t>
        </is>
      </c>
      <c r="AC1139" s="1" t="inlineStr">
        <is>
          <t>Философские науки</t>
        </is>
      </c>
      <c r="AD1139" s="1" t="inlineStr">
        <is>
          <t>Философия в целом. Труды</t>
        </is>
      </c>
      <c r="AE1139" s="1" t="inlineStr">
        <is>
          <t>офсетная</t>
        </is>
      </c>
      <c r="AG1139" s="1" t="n">
        <v>11570430</v>
      </c>
      <c r="AI1139" s="1" t="inlineStr">
        <is>
          <t>4901990000</t>
        </is>
      </c>
    </row>
    <row r="1140" customFormat="1" s="1">
      <c r="C1140" s="1" t="inlineStr">
        <is>
          <t xml:space="preserve">11492880            </t>
        </is>
      </c>
      <c r="D1140" s="1" t="inlineStr">
        <is>
          <t>Читальный зал</t>
        </is>
      </c>
      <c r="E1140" s="1" t="inlineStr">
        <is>
          <t>Так говорил Заратустра. Ницше Ф.В.</t>
        </is>
      </c>
      <c r="F1140" s="13" t="inlineStr">
        <is>
          <t>См.обл.</t>
        </is>
      </c>
      <c r="G1140" s="1" t="inlineStr">
        <is>
          <t>Ницше Ф.В.</t>
        </is>
      </c>
      <c r="H1140" s="1" t="inlineStr">
        <is>
          <t>84х108/32</t>
        </is>
      </c>
      <c r="I1140" s="1" t="n">
        <v>400</v>
      </c>
      <c r="J1140" s="1" t="inlineStr">
        <is>
          <t>РИПОЛ Классик</t>
        </is>
      </c>
      <c r="M1140" s="1" t="inlineStr">
        <is>
          <t>2026</t>
        </is>
      </c>
      <c r="N1140" s="1" t="inlineStr">
        <is>
          <t>П</t>
        </is>
      </c>
      <c r="O1140" s="9" t="n">
        <v>8</v>
      </c>
      <c r="P1140" s="1">
        <f>ROUNDUP(1520*(1-$F$3),2)</f>
        <v/>
      </c>
      <c r="Q1140" s="1" t="inlineStr">
        <is>
          <t> </t>
        </is>
      </c>
      <c r="R1140" s="1" t="inlineStr">
        <is>
          <t>978-5-386-15225-3</t>
        </is>
      </c>
      <c r="S1140" s="1" t="inlineStr">
        <is>
          <t>9785386152253</t>
        </is>
      </c>
      <c r="T1140" s="9" t="n">
        <v>10</v>
      </c>
      <c r="U1140" s="1">
        <f>ROUNDUP(1381.82*(1-$F$3),2)</f>
        <v/>
      </c>
      <c r="V1140" s="1" t="n">
        <v>407</v>
      </c>
      <c r="Y1140" s="1" t="inlineStr">
        <is>
          <t>Так говорил Заратустра</t>
        </is>
      </c>
      <c r="Z1140" s="1" t="inlineStr">
        <is>
          <t>16+</t>
        </is>
      </c>
      <c r="AA1140" s="12" t="n">
        <v>45565</v>
      </c>
      <c r="AB1140" s="1" t="inlineStr">
        <is>
          <t>Гуманитарные науки</t>
        </is>
      </c>
      <c r="AC1140" s="1" t="inlineStr">
        <is>
          <t>Философские науки</t>
        </is>
      </c>
      <c r="AD1140" s="1" t="inlineStr">
        <is>
          <t>Философия в целом. Труды</t>
        </is>
      </c>
      <c r="AE1140" s="1" t="inlineStr">
        <is>
          <t>офсетная</t>
        </is>
      </c>
      <c r="AG1140" s="1" t="n">
        <v>11492880</v>
      </c>
      <c r="AI1140" s="1" t="inlineStr">
        <is>
          <t>4901990000</t>
        </is>
      </c>
    </row>
    <row r="1141" customFormat="1" s="1">
      <c r="C1141" s="1" t="inlineStr">
        <is>
          <t xml:space="preserve">11744250            </t>
        </is>
      </c>
      <c r="D1141" s="1" t="inlineStr">
        <is>
          <t>Читальный зал</t>
        </is>
      </c>
      <c r="E1141" s="1" t="inlineStr">
        <is>
          <t>Темные аллеи. Бунин И.А.</t>
        </is>
      </c>
      <c r="F1141" s="13" t="inlineStr">
        <is>
          <t>См.обл.</t>
        </is>
      </c>
      <c r="G1141" s="1" t="inlineStr">
        <is>
          <t>Бунин И.А.</t>
        </is>
      </c>
      <c r="H1141" s="1" t="inlineStr">
        <is>
          <t>84х108/32</t>
        </is>
      </c>
      <c r="I1141" s="1" t="n">
        <v>304</v>
      </c>
      <c r="J1141" s="1" t="inlineStr">
        <is>
          <t>РИПОЛ Классик</t>
        </is>
      </c>
      <c r="M1141" s="1" t="inlineStr">
        <is>
          <t>2025</t>
        </is>
      </c>
      <c r="N1141" s="1" t="inlineStr">
        <is>
          <t>П</t>
        </is>
      </c>
      <c r="O1141" s="9" t="n">
        <v>5</v>
      </c>
      <c r="P1141" s="1">
        <f>ROUNDUP(1040*(1-$F$3),2)</f>
        <v/>
      </c>
      <c r="Q1141" s="1" t="inlineStr">
        <is>
          <t> </t>
        </is>
      </c>
      <c r="R1141" s="1" t="inlineStr">
        <is>
          <t>978-5-386-15453-0</t>
        </is>
      </c>
      <c r="S1141" s="1" t="inlineStr">
        <is>
          <t>9785386154530</t>
        </is>
      </c>
      <c r="T1141" s="9" t="n">
        <v>10</v>
      </c>
      <c r="U1141" s="1">
        <f>ROUNDUP(945.45*(1-$F$3),2)</f>
        <v/>
      </c>
      <c r="V1141" s="1" t="n">
        <v>323</v>
      </c>
      <c r="Y1141" s="1" t="inlineStr">
        <is>
          <t>Темные аллеи</t>
        </is>
      </c>
      <c r="Z1141" s="1" t="inlineStr">
        <is>
          <t>12+</t>
        </is>
      </c>
      <c r="AA1141" s="12" t="n">
        <v>45797</v>
      </c>
      <c r="AB1141" s="1" t="inlineStr">
        <is>
          <t>Художественная литература</t>
        </is>
      </c>
      <c r="AC1141" s="1" t="inlineStr">
        <is>
          <t>Русская литература</t>
        </is>
      </c>
      <c r="AD1141" s="1" t="inlineStr">
        <is>
          <t>Литература русского зарубежья (1917-1990 гг.)</t>
        </is>
      </c>
      <c r="AE1141" s="1" t="inlineStr">
        <is>
          <t>офсетная</t>
        </is>
      </c>
      <c r="AG1141" s="1" t="n">
        <v>11744250</v>
      </c>
      <c r="AI1141" s="1" t="inlineStr">
        <is>
          <t>4901990000</t>
        </is>
      </c>
    </row>
    <row r="1142" customFormat="1" s="1">
      <c r="C1142" s="1" t="inlineStr">
        <is>
          <t xml:space="preserve">11476250            </t>
        </is>
      </c>
      <c r="D1142" s="1" t="inlineStr">
        <is>
          <t>Читальный зал</t>
        </is>
      </c>
      <c r="E1142" s="1" t="inlineStr">
        <is>
          <t>Тяжелые сны. Сологуб Ф.К.</t>
        </is>
      </c>
      <c r="F1142" s="13" t="inlineStr">
        <is>
          <t>См.обл.</t>
        </is>
      </c>
      <c r="G1142" s="1" t="inlineStr">
        <is>
          <t>Сологуб Ф.К.</t>
        </is>
      </c>
      <c r="H1142" s="1" t="inlineStr">
        <is>
          <t>84х108/32</t>
        </is>
      </c>
      <c r="I1142" s="1" t="n">
        <v>408</v>
      </c>
      <c r="J1142" s="1" t="inlineStr">
        <is>
          <t>РИПОЛ Классик</t>
        </is>
      </c>
      <c r="M1142" s="1" t="inlineStr">
        <is>
          <t>2026</t>
        </is>
      </c>
      <c r="N1142" s="1" t="inlineStr">
        <is>
          <t>П</t>
        </is>
      </c>
      <c r="O1142" s="9" t="n">
        <v>8</v>
      </c>
      <c r="P1142" s="1">
        <f>ROUNDUP(1309*(1-$F$3),2)</f>
        <v/>
      </c>
      <c r="Q1142" s="1" t="inlineStr">
        <is>
          <t> </t>
        </is>
      </c>
      <c r="R1142" s="1" t="inlineStr">
        <is>
          <t>978-5-386-15240-6</t>
        </is>
      </c>
      <c r="S1142" s="1" t="inlineStr">
        <is>
          <t>9785386152406</t>
        </is>
      </c>
      <c r="T1142" s="9" t="n">
        <v>10</v>
      </c>
      <c r="U1142" s="1">
        <f>ROUNDUP(1190*(1-$F$3),2)</f>
        <v/>
      </c>
      <c r="V1142" s="1" t="n">
        <v>411</v>
      </c>
      <c r="Y1142" s="1" t="inlineStr">
        <is>
          <t>Тяжелые сны</t>
        </is>
      </c>
      <c r="Z1142" s="1" t="inlineStr">
        <is>
          <t>16+</t>
        </is>
      </c>
      <c r="AA1142" s="12" t="n">
        <v>45561</v>
      </c>
      <c r="AB1142" s="1" t="inlineStr">
        <is>
          <t>Художественная литература</t>
        </is>
      </c>
      <c r="AC1142" s="1" t="inlineStr">
        <is>
          <t>Русская литература</t>
        </is>
      </c>
      <c r="AD1142" s="1" t="inlineStr">
        <is>
          <t>Русская литература XVIII-нач. XX вв. (до 1917 г.)</t>
        </is>
      </c>
      <c r="AE1142" s="1" t="inlineStr">
        <is>
          <t>офсетная</t>
        </is>
      </c>
      <c r="AG1142" s="1" t="n">
        <v>11476250</v>
      </c>
      <c r="AI1142" s="1" t="inlineStr">
        <is>
          <t>4901990000</t>
        </is>
      </c>
    </row>
    <row r="1143" customFormat="1" s="1">
      <c r="C1143" s="1" t="inlineStr">
        <is>
          <t xml:space="preserve">11501870            </t>
        </is>
      </c>
      <c r="D1143" s="1" t="inlineStr">
        <is>
          <t>Читальный зал</t>
        </is>
      </c>
      <c r="E1143" s="1" t="inlineStr">
        <is>
          <t>Уолден, или Жизнь в лесу. Торо Г.Д.</t>
        </is>
      </c>
      <c r="F1143" s="13" t="inlineStr">
        <is>
          <t>См.обл.</t>
        </is>
      </c>
      <c r="G1143" s="1" t="inlineStr">
        <is>
          <t>Торо Г.Д.</t>
        </is>
      </c>
      <c r="H1143" s="1" t="inlineStr">
        <is>
          <t>84х108/32</t>
        </is>
      </c>
      <c r="I1143" s="1" t="n">
        <v>464</v>
      </c>
      <c r="J1143" s="1" t="inlineStr">
        <is>
          <t>РИПОЛ Классик</t>
        </is>
      </c>
      <c r="M1143" s="1" t="inlineStr">
        <is>
          <t>2026</t>
        </is>
      </c>
      <c r="N1143" s="1" t="inlineStr">
        <is>
          <t>П</t>
        </is>
      </c>
      <c r="O1143" s="9" t="n">
        <v>8</v>
      </c>
      <c r="P1143" s="1">
        <f>ROUNDUP(1610*(1-$F$3),2)</f>
        <v/>
      </c>
      <c r="Q1143" s="1" t="inlineStr">
        <is>
          <t> </t>
        </is>
      </c>
      <c r="R1143" s="1" t="inlineStr">
        <is>
          <t>978-5-386-15299-4</t>
        </is>
      </c>
      <c r="S1143" s="1" t="inlineStr">
        <is>
          <t>9785386152994</t>
        </is>
      </c>
      <c r="T1143" s="9" t="n">
        <v>10</v>
      </c>
      <c r="U1143" s="1">
        <f>ROUNDUP(1463.64*(1-$F$3),2)</f>
        <v/>
      </c>
      <c r="V1143" s="1" t="n">
        <v>454</v>
      </c>
      <c r="Y1143" s="1" t="inlineStr">
        <is>
          <t>Уолден, или Жизнь в лесу</t>
        </is>
      </c>
      <c r="Z1143" s="1" t="inlineStr">
        <is>
          <t>16+</t>
        </is>
      </c>
      <c r="AA1143" s="12" t="n">
        <v>45582</v>
      </c>
      <c r="AB1143" s="1" t="inlineStr">
        <is>
          <t>Художественная литература</t>
        </is>
      </c>
      <c r="AC1143" s="1" t="inlineStr">
        <is>
          <t>Зарубежная литература</t>
        </is>
      </c>
      <c r="AD1143" s="1" t="inlineStr">
        <is>
          <t>Литература Америки и Австралии</t>
        </is>
      </c>
      <c r="AE1143" s="1" t="inlineStr">
        <is>
          <t>офсетная</t>
        </is>
      </c>
      <c r="AG1143" s="1" t="n">
        <v>11501870</v>
      </c>
      <c r="AI1143" s="1" t="inlineStr">
        <is>
          <t>4901990000</t>
        </is>
      </c>
    </row>
    <row r="1144" customFormat="1" s="1">
      <c r="C1144" s="1" t="inlineStr">
        <is>
          <t xml:space="preserve">11746760            </t>
        </is>
      </c>
      <c r="D1144" s="1" t="inlineStr">
        <is>
          <t>Читальный зал</t>
        </is>
      </c>
      <c r="E1144" s="1" t="inlineStr">
        <is>
          <t>Хижина дяди Тома. Бичер-Стоу Г.</t>
        </is>
      </c>
      <c r="F1144" s="13" t="inlineStr">
        <is>
          <t>См.обл.</t>
        </is>
      </c>
      <c r="G1144" s="1" t="inlineStr">
        <is>
          <t>Бичер-Стоу Г.</t>
        </is>
      </c>
      <c r="H1144" s="1" t="inlineStr">
        <is>
          <t>84х108/32</t>
        </is>
      </c>
      <c r="I1144" s="1" t="n">
        <v>624</v>
      </c>
      <c r="J1144" s="1" t="inlineStr">
        <is>
          <t>РИПОЛ Классик</t>
        </is>
      </c>
      <c r="M1144" s="1" t="inlineStr">
        <is>
          <t>2025</t>
        </is>
      </c>
      <c r="N1144" s="1" t="inlineStr">
        <is>
          <t>П</t>
        </is>
      </c>
      <c r="O1144" s="9" t="n">
        <v>5</v>
      </c>
      <c r="P1144" s="1">
        <f>ROUNDUP(1770*(1-$F$3),2)</f>
        <v/>
      </c>
      <c r="Q1144" s="1" t="inlineStr">
        <is>
          <t> </t>
        </is>
      </c>
      <c r="R1144" s="1" t="inlineStr">
        <is>
          <t>978-5-386-15399-1</t>
        </is>
      </c>
      <c r="S1144" s="1" t="inlineStr">
        <is>
          <t>9785386153991</t>
        </is>
      </c>
      <c r="T1144" s="9" t="n">
        <v>10</v>
      </c>
      <c r="U1144" s="1">
        <f>ROUNDUP(1609.09*(1-$F$3),2)</f>
        <v/>
      </c>
      <c r="V1144" s="1" t="n">
        <v>629</v>
      </c>
      <c r="Y1144" s="1" t="inlineStr">
        <is>
          <t>Хижина дяди Тома</t>
        </is>
      </c>
      <c r="Z1144" s="1" t="inlineStr">
        <is>
          <t>16+</t>
        </is>
      </c>
      <c r="AA1144" s="12" t="n">
        <v>45797</v>
      </c>
      <c r="AB1144" s="1" t="inlineStr">
        <is>
          <t>Художественная литература</t>
        </is>
      </c>
      <c r="AC1144" s="1" t="inlineStr">
        <is>
          <t>Зарубежная литература</t>
        </is>
      </c>
      <c r="AD1144" s="1" t="inlineStr">
        <is>
          <t>Литература Америки и Австралии</t>
        </is>
      </c>
      <c r="AE1144" s="1" t="inlineStr">
        <is>
          <t>офсетная</t>
        </is>
      </c>
      <c r="AG1144" s="1" t="n">
        <v>11746760</v>
      </c>
      <c r="AI1144" s="1" t="inlineStr">
        <is>
          <t>4901990000</t>
        </is>
      </c>
    </row>
    <row r="1145" customFormat="1" s="1">
      <c r="C1145" s="1" t="inlineStr">
        <is>
          <t xml:space="preserve">11469200            </t>
        </is>
      </c>
      <c r="D1145" s="1" t="inlineStr">
        <is>
          <t>Читальный зал</t>
        </is>
      </c>
      <c r="E1145" s="1" t="inlineStr">
        <is>
          <t>Царь Эдип. Эдип в Колоне. Софокл</t>
        </is>
      </c>
      <c r="F1145" s="13" t="inlineStr">
        <is>
          <t>См.обл.</t>
        </is>
      </c>
      <c r="G1145" s="1" t="inlineStr">
        <is>
          <t>Софокл</t>
        </is>
      </c>
      <c r="H1145" s="1" t="inlineStr">
        <is>
          <t>84х108/32</t>
        </is>
      </c>
      <c r="I1145" s="1" t="n">
        <v>260</v>
      </c>
      <c r="J1145" s="1" t="inlineStr">
        <is>
          <t>РИПОЛ Классик</t>
        </is>
      </c>
      <c r="M1145" s="1" t="inlineStr">
        <is>
          <t>2026</t>
        </is>
      </c>
      <c r="N1145" s="1" t="inlineStr">
        <is>
          <t>П</t>
        </is>
      </c>
      <c r="O1145" s="9" t="n">
        <v>12</v>
      </c>
      <c r="P1145" s="1">
        <f>ROUNDUP(979*(1-$F$3),2)</f>
        <v/>
      </c>
      <c r="Q1145" s="1" t="inlineStr">
        <is>
          <t> </t>
        </is>
      </c>
      <c r="R1145" s="1" t="inlineStr">
        <is>
          <t>978-5-386-15302-1</t>
        </is>
      </c>
      <c r="S1145" s="1" t="inlineStr">
        <is>
          <t>9785386153021</t>
        </is>
      </c>
      <c r="T1145" s="9" t="n">
        <v>10</v>
      </c>
      <c r="U1145" s="1">
        <f>ROUNDUP(890*(1-$F$3),2)</f>
        <v/>
      </c>
      <c r="V1145" s="1" t="n">
        <v>296</v>
      </c>
      <c r="Y1145" s="1" t="inlineStr">
        <is>
          <t>Царь Эдип. Эдип в Колоне</t>
        </is>
      </c>
      <c r="Z1145" s="1" t="inlineStr">
        <is>
          <t>16+</t>
        </is>
      </c>
      <c r="AA1145" s="12" t="n">
        <v>45547</v>
      </c>
      <c r="AB1145" s="1" t="inlineStr">
        <is>
          <t>Художественная литература</t>
        </is>
      </c>
      <c r="AC1145" s="1" t="inlineStr">
        <is>
          <t>Зарубежная литература</t>
        </is>
      </c>
      <c r="AD1145" s="1" t="inlineStr">
        <is>
          <t>Литература Древнего мира, Античности и Средних веков</t>
        </is>
      </c>
      <c r="AE1145" s="1" t="inlineStr">
        <is>
          <t>офсетная</t>
        </is>
      </c>
      <c r="AG1145" s="1" t="n">
        <v>11469200</v>
      </c>
      <c r="AI1145" s="1" t="inlineStr">
        <is>
          <t>4901990000</t>
        </is>
      </c>
    </row>
    <row r="1146" customFormat="1" s="1">
      <c r="C1146" s="1" t="inlineStr">
        <is>
          <t xml:space="preserve">11742560            </t>
        </is>
      </c>
      <c r="D1146" s="1" t="inlineStr">
        <is>
          <t>Читальный зал</t>
        </is>
      </c>
      <c r="E1146" s="1" t="inlineStr">
        <is>
          <t>Что делать?. Чернышевский Н.Г.</t>
        </is>
      </c>
      <c r="F1146" s="13" t="inlineStr">
        <is>
          <t>См.обл.</t>
        </is>
      </c>
      <c r="G1146" s="1" t="inlineStr">
        <is>
          <t>Чернышевский Н.Г.</t>
        </is>
      </c>
      <c r="H1146" s="1" t="inlineStr">
        <is>
          <t>84х108/32</t>
        </is>
      </c>
      <c r="I1146" s="1" t="n">
        <v>624</v>
      </c>
      <c r="J1146" s="1" t="inlineStr">
        <is>
          <t>РИПОЛ Классик</t>
        </is>
      </c>
      <c r="M1146" s="1" t="inlineStr">
        <is>
          <t>2025</t>
        </is>
      </c>
      <c r="N1146" s="1" t="inlineStr">
        <is>
          <t>П</t>
        </is>
      </c>
      <c r="O1146" s="9" t="n">
        <v>4</v>
      </c>
      <c r="P1146" s="1">
        <f>ROUNDUP(1880*(1-$F$3),2)</f>
        <v/>
      </c>
      <c r="Q1146" s="1" t="inlineStr">
        <is>
          <t> </t>
        </is>
      </c>
      <c r="R1146" s="1" t="inlineStr">
        <is>
          <t>978-5-386-15451-6</t>
        </is>
      </c>
      <c r="S1146" s="1" t="inlineStr">
        <is>
          <t>9785386154516</t>
        </is>
      </c>
      <c r="T1146" s="9" t="n">
        <v>10</v>
      </c>
      <c r="U1146" s="1">
        <f>ROUNDUP(1709.09*(1-$F$3),2)</f>
        <v/>
      </c>
      <c r="V1146" s="1" t="n">
        <v>628</v>
      </c>
      <c r="Y1146" s="1" t="inlineStr">
        <is>
          <t>Что делать?</t>
        </is>
      </c>
      <c r="Z1146" s="1" t="inlineStr">
        <is>
          <t>16+</t>
        </is>
      </c>
      <c r="AA1146" s="12" t="n">
        <v>45784</v>
      </c>
      <c r="AB1146" s="1" t="inlineStr">
        <is>
          <t>Художественная литература</t>
        </is>
      </c>
      <c r="AC1146" s="1" t="inlineStr">
        <is>
          <t>Русская литература</t>
        </is>
      </c>
      <c r="AD1146" s="1" t="inlineStr">
        <is>
          <t>Русская литература XVIII-нач. XX вв. (до 1917 г.)</t>
        </is>
      </c>
      <c r="AE1146" s="1" t="inlineStr">
        <is>
          <t>офсетная</t>
        </is>
      </c>
      <c r="AG1146" s="1" t="n">
        <v>11742560</v>
      </c>
      <c r="AI1146" s="1" t="inlineStr">
        <is>
          <t>4901990000</t>
        </is>
      </c>
    </row>
    <row r="1147" customFormat="1" s="1">
      <c r="C1147" s="1" t="inlineStr">
        <is>
          <t xml:space="preserve">11592280            </t>
        </is>
      </c>
      <c r="D1147" s="1" t="inlineStr">
        <is>
          <t>Читальный зал</t>
        </is>
      </c>
      <c r="E1147" s="1" t="inlineStr">
        <is>
          <t>Этика. Спиноза Б.</t>
        </is>
      </c>
      <c r="F1147" s="13" t="inlineStr">
        <is>
          <t>См.обл.</t>
        </is>
      </c>
      <c r="G1147" s="1" t="inlineStr">
        <is>
          <t>Спиноза Б.</t>
        </is>
      </c>
      <c r="H1147" s="1" t="inlineStr">
        <is>
          <t>84х108/32</t>
        </is>
      </c>
      <c r="I1147" s="1" t="n">
        <v>368</v>
      </c>
      <c r="J1147" s="1" t="inlineStr">
        <is>
          <t>РИПОЛ Классик</t>
        </is>
      </c>
      <c r="M1147" s="1" t="inlineStr">
        <is>
          <t>2025</t>
        </is>
      </c>
      <c r="N1147" s="1" t="inlineStr">
        <is>
          <t>П</t>
        </is>
      </c>
      <c r="O1147" s="9" t="n">
        <v>4</v>
      </c>
      <c r="P1147" s="1">
        <f>ROUNDUP(1440*(1-$F$3),2)</f>
        <v/>
      </c>
      <c r="Q1147" s="1" t="inlineStr">
        <is>
          <t> </t>
        </is>
      </c>
      <c r="R1147" s="1" t="inlineStr">
        <is>
          <t>978-5-386-15388-5</t>
        </is>
      </c>
      <c r="S1147" s="1" t="inlineStr">
        <is>
          <t>9785386153885</t>
        </is>
      </c>
      <c r="T1147" s="9" t="n">
        <v>10</v>
      </c>
      <c r="U1147" s="1">
        <f>ROUNDUP(1309.09*(1-$F$3),2)</f>
        <v/>
      </c>
      <c r="V1147" s="1" t="n">
        <v>363</v>
      </c>
      <c r="Y1147" s="1" t="inlineStr">
        <is>
          <t>Этика</t>
        </is>
      </c>
      <c r="Z1147" s="1" t="inlineStr">
        <is>
          <t>16+</t>
        </is>
      </c>
      <c r="AA1147" s="12" t="n">
        <v>45643</v>
      </c>
      <c r="AB1147" s="1" t="inlineStr">
        <is>
          <t>Гуманитарные науки</t>
        </is>
      </c>
      <c r="AC1147" s="1" t="inlineStr">
        <is>
          <t>Философские науки</t>
        </is>
      </c>
      <c r="AD1147" s="1" t="inlineStr">
        <is>
          <t>Этика</t>
        </is>
      </c>
      <c r="AE1147" s="1" t="inlineStr">
        <is>
          <t>офсетная</t>
        </is>
      </c>
      <c r="AG1147" s="1" t="n">
        <v>11592280</v>
      </c>
      <c r="AI1147" s="1" t="inlineStr">
        <is>
          <t>4901990000</t>
        </is>
      </c>
    </row>
    <row r="1148" customFormat="1" s="1">
      <c r="C1148" s="1" t="inlineStr">
        <is>
          <t xml:space="preserve">7648840             </t>
        </is>
      </c>
      <c r="D1148" s="1" t="inlineStr">
        <is>
          <t>Что почитать?</t>
        </is>
      </c>
      <c r="E1148" s="1" t="inlineStr">
        <is>
          <t>Бретер и две девушки. Любецкая Т.</t>
        </is>
      </c>
      <c r="F1148" s="13" t="inlineStr">
        <is>
          <t>См.обл.</t>
        </is>
      </c>
      <c r="G1148" s="1" t="inlineStr">
        <is>
          <t>Любецкая Т.</t>
        </is>
      </c>
      <c r="H1148" s="1" t="inlineStr">
        <is>
          <t>84х108/32</t>
        </is>
      </c>
      <c r="I1148" s="1" t="n">
        <v>224</v>
      </c>
      <c r="J1148" s="1" t="inlineStr">
        <is>
          <t>РИПОЛ Классик</t>
        </is>
      </c>
      <c r="M1148" s="1" t="inlineStr">
        <is>
          <t>2016</t>
        </is>
      </c>
      <c r="N1148" s="1" t="inlineStr">
        <is>
          <t>П</t>
        </is>
      </c>
      <c r="O1148" s="9" t="n">
        <v>18</v>
      </c>
      <c r="P1148" s="1">
        <f>ROUNDUP(525.9*(1-$F$3),2)</f>
        <v/>
      </c>
      <c r="Q1148" s="1" t="inlineStr">
        <is>
          <t> </t>
        </is>
      </c>
      <c r="R1148" s="1" t="inlineStr">
        <is>
          <t>978-5-386-09272-6</t>
        </is>
      </c>
      <c r="S1148" s="1" t="inlineStr">
        <is>
          <t>9785386092726</t>
        </is>
      </c>
      <c r="T1148" s="9" t="n">
        <v>10</v>
      </c>
      <c r="U1148" s="1">
        <f>ROUNDUP(478.09*(1-$F$3),2)</f>
        <v/>
      </c>
      <c r="V1148" s="1" t="n">
        <v>286</v>
      </c>
      <c r="Y1148" s="1" t="inlineStr">
        <is>
          <t>Бретер и две девушки</t>
        </is>
      </c>
      <c r="Z1148" s="1" t="inlineStr">
        <is>
          <t>16+</t>
        </is>
      </c>
      <c r="AA1148" s="12" t="n">
        <v>42558</v>
      </c>
      <c r="AB1148" s="1" t="inlineStr">
        <is>
          <t>Художественная литература</t>
        </is>
      </c>
      <c r="AC1148" s="1" t="inlineStr">
        <is>
          <t>Русская литература</t>
        </is>
      </c>
      <c r="AD1148" s="1" t="inlineStr">
        <is>
          <t>Современная литература</t>
        </is>
      </c>
      <c r="AE1148" s="1" t="inlineStr">
        <is>
          <t> </t>
        </is>
      </c>
      <c r="AG1148" s="1" t="n">
        <v>7648840</v>
      </c>
      <c r="AI1148" s="1" t="inlineStr">
        <is>
          <t>4901990000</t>
        </is>
      </c>
    </row>
    <row r="1149" customFormat="1" s="1">
      <c r="C1149" s="1" t="inlineStr">
        <is>
          <t xml:space="preserve">7879290             </t>
        </is>
      </c>
      <c r="D1149" s="1" t="inlineStr">
        <is>
          <t>Что почитать?</t>
        </is>
      </c>
      <c r="E1149" s="1" t="inlineStr">
        <is>
          <t>Счастье. Ключарева Н.Л.</t>
        </is>
      </c>
      <c r="F1149" s="13" t="inlineStr">
        <is>
          <t>См.обл.</t>
        </is>
      </c>
      <c r="G1149" s="1" t="inlineStr">
        <is>
          <t>Ключарева Н.Л.</t>
        </is>
      </c>
      <c r="H1149" s="1" t="inlineStr">
        <is>
          <t>84х108/32</t>
        </is>
      </c>
      <c r="I1149" s="1" t="n">
        <v>286</v>
      </c>
      <c r="J1149" s="1" t="inlineStr">
        <is>
          <t>РИПОЛ Классик</t>
        </is>
      </c>
      <c r="M1149" s="1" t="inlineStr">
        <is>
          <t>2016</t>
        </is>
      </c>
      <c r="N1149" s="1" t="inlineStr">
        <is>
          <t>П</t>
        </is>
      </c>
      <c r="O1149" s="9" t="n">
        <v>14</v>
      </c>
      <c r="P1149" s="1">
        <f>ROUNDUP(940*(1-$F$3),2)</f>
        <v/>
      </c>
      <c r="Q1149" s="1" t="inlineStr">
        <is>
          <t> </t>
        </is>
      </c>
      <c r="R1149" s="1" t="inlineStr">
        <is>
          <t>978-5-386-09593-2</t>
        </is>
      </c>
      <c r="S1149" s="1" t="inlineStr">
        <is>
          <t>9785386095932</t>
        </is>
      </c>
      <c r="T1149" s="9" t="n">
        <v>10</v>
      </c>
      <c r="U1149" s="1">
        <f>ROUNDUP(854.55*(1-$F$3),2)</f>
        <v/>
      </c>
      <c r="V1149" s="1" t="n">
        <v>343</v>
      </c>
      <c r="Y1149" s="1" t="inlineStr">
        <is>
          <t>Счастье</t>
        </is>
      </c>
      <c r="Z1149" s="1" t="inlineStr">
        <is>
          <t>16+</t>
        </is>
      </c>
      <c r="AA1149" s="12" t="n">
        <v>42681</v>
      </c>
      <c r="AB1149" s="1" t="inlineStr">
        <is>
          <t>Художественная литература</t>
        </is>
      </c>
      <c r="AC1149" s="1" t="inlineStr">
        <is>
          <t>Русская литература</t>
        </is>
      </c>
      <c r="AD1149" s="1" t="inlineStr">
        <is>
          <t>Современная литература</t>
        </is>
      </c>
      <c r="AE1149" s="1" t="inlineStr">
        <is>
          <t> </t>
        </is>
      </c>
      <c r="AG1149" s="1" t="n">
        <v>7879290</v>
      </c>
    </row>
    <row r="1150" customFormat="1" s="1">
      <c r="C1150" s="1" t="inlineStr">
        <is>
          <t>320669</t>
        </is>
      </c>
      <c r="D1150" s="1" t="inlineStr">
        <is>
          <t>Шахматная серия</t>
        </is>
      </c>
      <c r="E1150" s="1" t="inlineStr">
        <is>
          <t>Шахматная серия. Сало Флор. Горький чешский шоколад. Мощенко В.Н.</t>
        </is>
      </c>
      <c r="F1150" s="13" t="inlineStr">
        <is>
          <t>См.обл.</t>
        </is>
      </c>
      <c r="G1150" s="1" t="inlineStr">
        <is>
          <t>Мощенко В.Н.</t>
        </is>
      </c>
      <c r="H1150" s="1" t="inlineStr">
        <is>
          <t>60х90/16</t>
        </is>
      </c>
      <c r="I1150" s="1" t="n">
        <v>368</v>
      </c>
      <c r="J1150" s="1" t="inlineStr">
        <is>
          <t>РИПОЛ Классик</t>
        </is>
      </c>
      <c r="M1150" s="1" t="inlineStr">
        <is>
          <t>2016</t>
        </is>
      </c>
      <c r="N1150" s="1" t="inlineStr">
        <is>
          <t>П</t>
        </is>
      </c>
      <c r="O1150" s="9" t="n">
        <v>10</v>
      </c>
      <c r="P1150" s="1">
        <f>ROUNDUP(1238.1*(1-$F$3),2)</f>
        <v/>
      </c>
      <c r="Q1150" s="1" t="inlineStr">
        <is>
          <t> </t>
        </is>
      </c>
      <c r="R1150" s="1" t="inlineStr">
        <is>
          <t>978-5-386-08729-6</t>
        </is>
      </c>
      <c r="S1150" s="1" t="inlineStr">
        <is>
          <t>9785386087296</t>
        </is>
      </c>
      <c r="T1150" s="9" t="n">
        <v>10</v>
      </c>
      <c r="U1150" s="1">
        <f>ROUNDUP(1125.55*(1-$F$3),2)</f>
        <v/>
      </c>
      <c r="V1150" s="1" t="n">
        <v>623</v>
      </c>
      <c r="W1150" s="1" t="inlineStr">
        <is>
          <t xml:space="preserve">610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1150" s="1" t="inlineStr">
        <is>
          <t xml:space="preserve">Российская проза                                                                                                                </t>
        </is>
      </c>
      <c r="Y1150" s="1" t="inlineStr">
        <is>
          <t>Шахматная серия. Сало Флор. Горький чешский шоколад</t>
        </is>
      </c>
      <c r="Z1150" s="1" t="inlineStr">
        <is>
          <t>12+</t>
        </is>
      </c>
      <c r="AA1150" s="12" t="n">
        <v>42247</v>
      </c>
      <c r="AB1150" s="1" t="inlineStr">
        <is>
          <t>Дом. Быт. Досуг</t>
        </is>
      </c>
      <c r="AC1150" s="1" t="inlineStr">
        <is>
          <t>Спорт</t>
        </is>
      </c>
      <c r="AD1150" s="1" t="inlineStr">
        <is>
          <t>Настольные игры</t>
        </is>
      </c>
      <c r="AE1150" s="1" t="inlineStr">
        <is>
          <t> </t>
        </is>
      </c>
      <c r="AG1150" s="1" t="n">
        <v>7106550</v>
      </c>
      <c r="AI1150" s="1" t="inlineStr">
        <is>
          <t>4901990000</t>
        </is>
      </c>
    </row>
    <row r="1151" customFormat="1" s="1">
      <c r="C1151" s="1" t="inlineStr">
        <is>
          <t xml:space="preserve">10209580            </t>
        </is>
      </c>
      <c r="D1151" s="1" t="inlineStr">
        <is>
          <t>Шедевры исторического детектива</t>
        </is>
      </c>
      <c r="E1151" s="1" t="inlineStr">
        <is>
          <t>Выкуп за мертвеца: роман. Питерс Э</t>
        </is>
      </c>
      <c r="F1151" s="13" t="inlineStr">
        <is>
          <t>См.обл.</t>
        </is>
      </c>
      <c r="G1151" s="1" t="inlineStr">
        <is>
          <t>Питерс Э</t>
        </is>
      </c>
      <c r="H1151" s="1" t="inlineStr">
        <is>
          <t>84х108/32</t>
        </is>
      </c>
      <c r="I1151" s="1" t="n">
        <v>226</v>
      </c>
      <c r="J1151" s="1" t="inlineStr">
        <is>
          <t>РИПОЛ Классик</t>
        </is>
      </c>
      <c r="K1151" s="1" t="inlineStr">
        <is>
          <t>RUGRAM_РИПОЛ Классик</t>
        </is>
      </c>
      <c r="M1151" s="1" t="inlineStr">
        <is>
          <t>2022</t>
        </is>
      </c>
      <c r="N1151" s="1" t="inlineStr">
        <is>
          <t>П</t>
        </is>
      </c>
      <c r="O1151" s="9" t="n">
        <v>16</v>
      </c>
      <c r="P1151" s="1">
        <f>ROUNDUP(1130*(1-$F$3),2)</f>
        <v/>
      </c>
      <c r="Q1151" s="1" t="inlineStr">
        <is>
          <t> </t>
        </is>
      </c>
      <c r="R1151" s="1" t="inlineStr">
        <is>
          <t>978-5-386-12896-8</t>
        </is>
      </c>
      <c r="S1151" s="1" t="inlineStr">
        <is>
          <t>9785386128968</t>
        </is>
      </c>
      <c r="T1151" s="9" t="n">
        <v>10</v>
      </c>
      <c r="U1151" s="1">
        <f>ROUNDUP(1027.27*(1-$F$3),2)</f>
        <v/>
      </c>
      <c r="V1151" s="1" t="n">
        <v>319</v>
      </c>
      <c r="Y1151" s="1" t="inlineStr">
        <is>
          <t>Выкуп за мертвеца: роман</t>
        </is>
      </c>
      <c r="Z1151" s="1" t="inlineStr">
        <is>
          <t>12+</t>
        </is>
      </c>
      <c r="AA1151" s="12" t="n">
        <v>44606</v>
      </c>
      <c r="AB1151" s="1" t="inlineStr">
        <is>
          <t>Художественная литература</t>
        </is>
      </c>
      <c r="AC1151" s="1" t="inlineStr">
        <is>
          <t>Детективы. Боевики. Триллеры</t>
        </is>
      </c>
      <c r="AD1151" s="1" t="inlineStr">
        <is>
          <t>Зарубежный детектив</t>
        </is>
      </c>
      <c r="AE1151" s="1" t="inlineStr">
        <is>
          <t>офсетная</t>
        </is>
      </c>
      <c r="AG1151" s="1" t="n">
        <v>10209580</v>
      </c>
      <c r="AI1151" s="1" t="inlineStr">
        <is>
          <t>4901990000</t>
        </is>
      </c>
    </row>
    <row r="1152" customFormat="1" s="1">
      <c r="C1152" s="1" t="inlineStr">
        <is>
          <t xml:space="preserve">10556700            </t>
        </is>
      </c>
      <c r="D1152" s="1" t="inlineStr">
        <is>
          <t>Шедевры исторического детектива</t>
        </is>
      </c>
      <c r="E1152" s="1" t="inlineStr">
        <is>
          <t>Исповедь монаха: роман. Питерс Э</t>
        </is>
      </c>
      <c r="F1152" s="13" t="inlineStr">
        <is>
          <t>См.обл.</t>
        </is>
      </c>
      <c r="G1152" s="1" t="inlineStr">
        <is>
          <t>Питерс Э</t>
        </is>
      </c>
      <c r="H1152" s="1" t="inlineStr">
        <is>
          <t>84х108/32</t>
        </is>
      </c>
      <c r="I1152" s="1" t="n">
        <v>240</v>
      </c>
      <c r="J1152" s="1" t="inlineStr">
        <is>
          <t>РИПОЛ Классик</t>
        </is>
      </c>
      <c r="M1152" s="1" t="inlineStr">
        <is>
          <t>2022</t>
        </is>
      </c>
      <c r="N1152" s="1" t="inlineStr">
        <is>
          <t>П</t>
        </is>
      </c>
      <c r="O1152" s="9" t="n">
        <v>14</v>
      </c>
      <c r="P1152" s="1">
        <f>ROUNDUP(1030*(1-$F$3),2)</f>
        <v/>
      </c>
      <c r="Q1152" s="1" t="inlineStr">
        <is>
          <t> </t>
        </is>
      </c>
      <c r="R1152" s="1" t="inlineStr">
        <is>
          <t>978-5-386-14832-4</t>
        </is>
      </c>
      <c r="S1152" s="1" t="inlineStr">
        <is>
          <t>9785386148324</t>
        </is>
      </c>
      <c r="T1152" s="9" t="n">
        <v>10</v>
      </c>
      <c r="U1152" s="1">
        <f>ROUNDUP(936.36*(1-$F$3),2)</f>
        <v/>
      </c>
      <c r="V1152" s="1" t="n">
        <v>274</v>
      </c>
      <c r="Y1152" s="1" t="inlineStr">
        <is>
          <t>Исповедь монаха: роман</t>
        </is>
      </c>
      <c r="Z1152" s="1" t="inlineStr">
        <is>
          <t>12+</t>
        </is>
      </c>
      <c r="AA1152" s="12" t="n">
        <v>44832</v>
      </c>
      <c r="AB1152" s="1" t="inlineStr">
        <is>
          <t>Художественная литература</t>
        </is>
      </c>
      <c r="AC1152" s="1" t="inlineStr">
        <is>
          <t>Детективы. Боевики. Триллеры</t>
        </is>
      </c>
      <c r="AD1152" s="1" t="inlineStr">
        <is>
          <t>Зарубежный детектив</t>
        </is>
      </c>
      <c r="AE1152" s="1" t="inlineStr">
        <is>
          <t>газетная</t>
        </is>
      </c>
      <c r="AG1152" s="1" t="n">
        <v>10556700</v>
      </c>
      <c r="AI1152" s="1" t="inlineStr">
        <is>
          <t>4901990000</t>
        </is>
      </c>
    </row>
    <row r="1153" customFormat="1" s="1">
      <c r="C1153" s="1" t="inlineStr">
        <is>
          <t xml:space="preserve">9857540             </t>
        </is>
      </c>
      <c r="D1153" s="1" t="inlineStr">
        <is>
          <t>Шедевры исторического детектива</t>
        </is>
      </c>
      <c r="E1153" s="1" t="inlineStr">
        <is>
          <t>Монаший капюшон: роман. Питерс Э</t>
        </is>
      </c>
      <c r="F1153" s="13" t="inlineStr">
        <is>
          <t>См.обл.</t>
        </is>
      </c>
      <c r="G1153" s="1" t="inlineStr">
        <is>
          <t>Питерс Э</t>
        </is>
      </c>
      <c r="H1153" s="1" t="inlineStr">
        <is>
          <t>84х108/32</t>
        </is>
      </c>
      <c r="I1153" s="1" t="n">
        <v>256</v>
      </c>
      <c r="J1153" s="1" t="inlineStr">
        <is>
          <t>РИПОЛ Классик</t>
        </is>
      </c>
      <c r="K1153" s="1" t="inlineStr">
        <is>
          <t>RUGRAM_РИПОЛ Классик</t>
        </is>
      </c>
      <c r="M1153" s="1" t="inlineStr">
        <is>
          <t>2022</t>
        </is>
      </c>
      <c r="N1153" s="1" t="inlineStr">
        <is>
          <t>П</t>
        </is>
      </c>
      <c r="O1153" s="9" t="n">
        <v>14</v>
      </c>
      <c r="P1153" s="1">
        <f>ROUNDUP(920*(1-$F$3),2)</f>
        <v/>
      </c>
      <c r="Q1153" s="1" t="inlineStr">
        <is>
          <t> </t>
        </is>
      </c>
      <c r="R1153" s="1" t="inlineStr">
        <is>
          <t>978-5-386-12865-4</t>
        </is>
      </c>
      <c r="S1153" s="1" t="inlineStr">
        <is>
          <t>9785386128654</t>
        </is>
      </c>
      <c r="T1153" s="9" t="n">
        <v>10</v>
      </c>
      <c r="U1153" s="1">
        <f>ROUNDUP(836.36*(1-$F$3),2)</f>
        <v/>
      </c>
      <c r="V1153" s="1" t="n">
        <v>354</v>
      </c>
      <c r="Y1153" s="1" t="inlineStr">
        <is>
          <t>Монаший капюшон: роман</t>
        </is>
      </c>
      <c r="Z1153" s="1" t="inlineStr">
        <is>
          <t>12+</t>
        </is>
      </c>
      <c r="AA1153" s="12" t="n">
        <v>44441</v>
      </c>
      <c r="AB1153" s="1" t="inlineStr">
        <is>
          <t>Художественная литература</t>
        </is>
      </c>
      <c r="AC1153" s="1" t="inlineStr">
        <is>
          <t>Детективы. Боевики. Триллеры</t>
        </is>
      </c>
      <c r="AD1153" s="1" t="inlineStr">
        <is>
          <t>Зарубежный детектив</t>
        </is>
      </c>
      <c r="AE1153" s="1" t="inlineStr">
        <is>
          <t>газетная</t>
        </is>
      </c>
      <c r="AG1153" s="1" t="n">
        <v>9857540</v>
      </c>
      <c r="AI1153" s="1" t="inlineStr">
        <is>
          <t>4901990000</t>
        </is>
      </c>
    </row>
    <row r="1154" customFormat="1" s="1">
      <c r="C1154" s="1" t="inlineStr">
        <is>
          <t xml:space="preserve">9857640             </t>
        </is>
      </c>
      <c r="D1154" s="1" t="inlineStr">
        <is>
          <t>Шедевры исторического детектива</t>
        </is>
      </c>
      <c r="E1154" s="1" t="inlineStr">
        <is>
          <t>Один лишний труп: роман. Питерс Э</t>
        </is>
      </c>
      <c r="F1154" s="13" t="inlineStr">
        <is>
          <t>См.обл.</t>
        </is>
      </c>
      <c r="G1154" s="1" t="inlineStr">
        <is>
          <t>Питерс Э</t>
        </is>
      </c>
      <c r="H1154" s="1" t="inlineStr">
        <is>
          <t>84х108/32</t>
        </is>
      </c>
      <c r="I1154" s="1" t="n">
        <v>272</v>
      </c>
      <c r="J1154" s="1" t="inlineStr">
        <is>
          <t>РИПОЛ Классик</t>
        </is>
      </c>
      <c r="K1154" s="1" t="inlineStr">
        <is>
          <t>RUGRAM_РИПОЛ Классик</t>
        </is>
      </c>
      <c r="M1154" s="1" t="inlineStr">
        <is>
          <t>2022</t>
        </is>
      </c>
      <c r="N1154" s="1" t="inlineStr">
        <is>
          <t>П</t>
        </is>
      </c>
      <c r="O1154" s="9" t="n">
        <v>14</v>
      </c>
      <c r="P1154" s="1">
        <f>ROUNDUP(920*(1-$F$3),2)</f>
        <v/>
      </c>
      <c r="Q1154" s="1" t="inlineStr">
        <is>
          <t> </t>
        </is>
      </c>
      <c r="R1154" s="1" t="inlineStr">
        <is>
          <t>978-5-386-12864-7</t>
        </is>
      </c>
      <c r="S1154" s="1" t="inlineStr">
        <is>
          <t>9785386128647</t>
        </is>
      </c>
      <c r="T1154" s="9" t="n">
        <v>10</v>
      </c>
      <c r="U1154" s="1">
        <f>ROUNDUP(836.36*(1-$F$3),2)</f>
        <v/>
      </c>
      <c r="V1154" s="1" t="n">
        <v>368</v>
      </c>
      <c r="Y1154" s="1" t="inlineStr">
        <is>
          <t>Один лишний труп: роман</t>
        </is>
      </c>
      <c r="Z1154" s="1" t="inlineStr">
        <is>
          <t>12+</t>
        </is>
      </c>
      <c r="AA1154" s="12" t="n">
        <v>44439</v>
      </c>
      <c r="AB1154" s="1" t="inlineStr">
        <is>
          <t>Художественная литература</t>
        </is>
      </c>
      <c r="AC1154" s="1" t="inlineStr">
        <is>
          <t>Детективы. Боевики. Триллеры</t>
        </is>
      </c>
      <c r="AD1154" s="1" t="inlineStr">
        <is>
          <t>Зарубежный детектив</t>
        </is>
      </c>
      <c r="AE1154" s="1" t="inlineStr">
        <is>
          <t>газетная</t>
        </is>
      </c>
      <c r="AG1154" s="1" t="n">
        <v>9857640</v>
      </c>
      <c r="AI1154" s="1" t="inlineStr">
        <is>
          <t>4901990000</t>
        </is>
      </c>
    </row>
    <row r="1155" customFormat="1" s="1">
      <c r="C1155" s="1" t="inlineStr">
        <is>
          <t xml:space="preserve">9929610             </t>
        </is>
      </c>
      <c r="D1155" s="1" t="inlineStr">
        <is>
          <t>Шедевры исторического детектива</t>
        </is>
      </c>
      <c r="E1155" s="1" t="inlineStr">
        <is>
          <t>Погребенная во льдах: роман. Питерс Э</t>
        </is>
      </c>
      <c r="F1155" s="13" t="inlineStr">
        <is>
          <t>См.обл.</t>
        </is>
      </c>
      <c r="G1155" s="1" t="inlineStr">
        <is>
          <t>Питерс Э</t>
        </is>
      </c>
      <c r="H1155" s="1" t="inlineStr">
        <is>
          <t>84х108/32</t>
        </is>
      </c>
      <c r="I1155" s="1" t="n">
        <v>272</v>
      </c>
      <c r="J1155" s="1" t="inlineStr">
        <is>
          <t>РИПОЛ Классик</t>
        </is>
      </c>
      <c r="K1155" s="1" t="inlineStr">
        <is>
          <t>RUGRAM_РИПОЛ Классик</t>
        </is>
      </c>
      <c r="M1155" s="1" t="inlineStr">
        <is>
          <t>2022</t>
        </is>
      </c>
      <c r="N1155" s="1" t="inlineStr">
        <is>
          <t>П</t>
        </is>
      </c>
      <c r="O1155" s="9" t="n">
        <v>14</v>
      </c>
      <c r="P1155" s="1">
        <f>ROUNDUP(1130*(1-$F$3),2)</f>
        <v/>
      </c>
      <c r="Q1155" s="1" t="inlineStr">
        <is>
          <t> </t>
        </is>
      </c>
      <c r="R1155" s="1" t="inlineStr">
        <is>
          <t>978-5-386-12875-3</t>
        </is>
      </c>
      <c r="S1155" s="1" t="inlineStr">
        <is>
          <t>9785386128753</t>
        </is>
      </c>
      <c r="T1155" s="9" t="n">
        <v>10</v>
      </c>
      <c r="U1155" s="1">
        <f>ROUNDUP(1027.27*(1-$F$3),2)</f>
        <v/>
      </c>
      <c r="V1155" s="1" t="n">
        <v>303</v>
      </c>
      <c r="Y1155" s="1" t="inlineStr">
        <is>
          <t>Погребенная во льдах: роман</t>
        </is>
      </c>
      <c r="Z1155" s="1" t="inlineStr">
        <is>
          <t>12+</t>
        </is>
      </c>
      <c r="AA1155" s="12" t="n">
        <v>44454</v>
      </c>
      <c r="AB1155" s="1" t="inlineStr">
        <is>
          <t>Художественная литература</t>
        </is>
      </c>
      <c r="AC1155" s="1" t="inlineStr">
        <is>
          <t>Детективы. Боевики. Триллеры</t>
        </is>
      </c>
      <c r="AD1155" s="1" t="inlineStr">
        <is>
          <t>Зарубежный детектив</t>
        </is>
      </c>
      <c r="AE1155" s="1" t="inlineStr">
        <is>
          <t>газетная</t>
        </is>
      </c>
      <c r="AG1155" s="1" t="n">
        <v>9929610</v>
      </c>
      <c r="AI1155" s="1" t="inlineStr">
        <is>
          <t>4901990000</t>
        </is>
      </c>
    </row>
    <row r="1156" customFormat="1" s="1">
      <c r="C1156" s="1" t="inlineStr">
        <is>
          <t xml:space="preserve">10493090            </t>
        </is>
      </c>
      <c r="D1156" s="1" t="inlineStr">
        <is>
          <t>Шедевры исторического детектива</t>
        </is>
      </c>
      <c r="E1156" s="1" t="inlineStr">
        <is>
          <t>Роза в уплату: роман. Питерс Э</t>
        </is>
      </c>
      <c r="F1156" s="13" t="inlineStr">
        <is>
          <t>См.обл.</t>
        </is>
      </c>
      <c r="G1156" s="1" t="inlineStr">
        <is>
          <t>Питерс Э</t>
        </is>
      </c>
      <c r="H1156" s="1" t="inlineStr">
        <is>
          <t>84х108/32</t>
        </is>
      </c>
      <c r="I1156" s="1" t="n">
        <v>256</v>
      </c>
      <c r="J1156" s="1" t="inlineStr">
        <is>
          <t>РИПОЛ Классик</t>
        </is>
      </c>
      <c r="M1156" s="1" t="inlineStr">
        <is>
          <t>2022</t>
        </is>
      </c>
      <c r="N1156" s="1" t="inlineStr">
        <is>
          <t>П</t>
        </is>
      </c>
      <c r="O1156" s="9" t="n">
        <v>14</v>
      </c>
      <c r="P1156" s="1">
        <f>ROUNDUP(1030*(1-$F$3),2)</f>
        <v/>
      </c>
      <c r="Q1156" s="1" t="inlineStr">
        <is>
          <t> </t>
        </is>
      </c>
      <c r="R1156" s="1" t="inlineStr">
        <is>
          <t>978-5-386-14736-5</t>
        </is>
      </c>
      <c r="S1156" s="1" t="inlineStr">
        <is>
          <t>9785386147365</t>
        </is>
      </c>
      <c r="T1156" s="9" t="n">
        <v>10</v>
      </c>
      <c r="U1156" s="1">
        <f>ROUNDUP(936.36*(1-$F$3),2)</f>
        <v/>
      </c>
      <c r="V1156" s="1" t="n">
        <v>289</v>
      </c>
      <c r="Y1156" s="1" t="inlineStr">
        <is>
          <t>Роза в уплату: роман</t>
        </is>
      </c>
      <c r="Z1156" s="1" t="inlineStr">
        <is>
          <t>12+</t>
        </is>
      </c>
      <c r="AA1156" s="12" t="n">
        <v>44783</v>
      </c>
      <c r="AB1156" s="1" t="inlineStr">
        <is>
          <t>Художественная литература</t>
        </is>
      </c>
      <c r="AC1156" s="1" t="inlineStr">
        <is>
          <t>Детективы. Боевики. Триллеры</t>
        </is>
      </c>
      <c r="AD1156" s="1" t="inlineStr">
        <is>
          <t>Зарубежный детектив</t>
        </is>
      </c>
      <c r="AE1156" s="1" t="inlineStr">
        <is>
          <t>офсетная</t>
        </is>
      </c>
      <c r="AG1156" s="1" t="n">
        <v>10493090</v>
      </c>
      <c r="AI1156" s="1" t="inlineStr">
        <is>
          <t>4901990000</t>
        </is>
      </c>
    </row>
    <row r="1157" customFormat="1" s="1">
      <c r="C1157" s="1" t="inlineStr">
        <is>
          <t xml:space="preserve">10232280            </t>
        </is>
      </c>
      <c r="D1157" s="1" t="inlineStr">
        <is>
          <t>Шедевры исторического детектива</t>
        </is>
      </c>
      <c r="E1157" s="1" t="inlineStr">
        <is>
          <t>Роковой обет: роман. Питерс Э</t>
        </is>
      </c>
      <c r="F1157" s="13" t="inlineStr">
        <is>
          <t>См.обл.</t>
        </is>
      </c>
      <c r="G1157" s="1" t="inlineStr">
        <is>
          <t>Питерс Э</t>
        </is>
      </c>
      <c r="H1157" s="1" t="inlineStr">
        <is>
          <t>84х108/32</t>
        </is>
      </c>
      <c r="I1157" s="1" t="n">
        <v>256</v>
      </c>
      <c r="J1157" s="1" t="inlineStr">
        <is>
          <t>РИПОЛ Классик</t>
        </is>
      </c>
      <c r="K1157" s="1" t="inlineStr">
        <is>
          <t>RUGRAM_РИПОЛ Классик</t>
        </is>
      </c>
      <c r="M1157" s="1" t="inlineStr">
        <is>
          <t>2022</t>
        </is>
      </c>
      <c r="N1157" s="1" t="inlineStr">
        <is>
          <t>П</t>
        </is>
      </c>
      <c r="O1157" s="9" t="n">
        <v>14</v>
      </c>
      <c r="P1157" s="1">
        <f>ROUNDUP(1130*(1-$F$3),2)</f>
        <v/>
      </c>
      <c r="Q1157" s="1" t="inlineStr">
        <is>
          <t> </t>
        </is>
      </c>
      <c r="R1157" s="1" t="inlineStr">
        <is>
          <t>978-5-386-12897-5</t>
        </is>
      </c>
      <c r="S1157" s="1" t="inlineStr">
        <is>
          <t>9785386128975</t>
        </is>
      </c>
      <c r="T1157" s="9" t="n">
        <v>10</v>
      </c>
      <c r="U1157" s="1">
        <f>ROUNDUP(1027.27*(1-$F$3),2)</f>
        <v/>
      </c>
      <c r="V1157" s="1" t="n">
        <v>289</v>
      </c>
      <c r="Y1157" s="1" t="inlineStr">
        <is>
          <t>Роковой обет: роман</t>
        </is>
      </c>
      <c r="Z1157" s="1" t="inlineStr">
        <is>
          <t>12+</t>
        </is>
      </c>
      <c r="AA1157" s="12" t="n">
        <v>44606</v>
      </c>
      <c r="AB1157" s="1" t="inlineStr">
        <is>
          <t>Художественная литература</t>
        </is>
      </c>
      <c r="AC1157" s="1" t="inlineStr">
        <is>
          <t>Детективы. Боевики. Триллеры</t>
        </is>
      </c>
      <c r="AD1157" s="1" t="inlineStr">
        <is>
          <t>Зарубежный детектив</t>
        </is>
      </c>
      <c r="AE1157" s="1" t="inlineStr">
        <is>
          <t>офсетная</t>
        </is>
      </c>
      <c r="AG1157" s="1" t="n">
        <v>10232280</v>
      </c>
      <c r="AI1157" s="1" t="inlineStr">
        <is>
          <t>4901990000</t>
        </is>
      </c>
    </row>
    <row r="1158" customFormat="1" s="1">
      <c r="C1158" s="1" t="inlineStr">
        <is>
          <t xml:space="preserve">10362120            </t>
        </is>
      </c>
      <c r="D1158" s="1" t="inlineStr">
        <is>
          <t>Шедевры исторического детектива</t>
        </is>
      </c>
      <c r="E1158" s="1" t="inlineStr">
        <is>
          <t>Сокровенное таинство: роман. Питерс Э</t>
        </is>
      </c>
      <c r="F1158" s="13" t="inlineStr">
        <is>
          <t>См.обл.</t>
        </is>
      </c>
      <c r="G1158" s="1" t="inlineStr">
        <is>
          <t>Питерс Э</t>
        </is>
      </c>
      <c r="H1158" s="1" t="inlineStr">
        <is>
          <t>84х108/32</t>
        </is>
      </c>
      <c r="I1158" s="1" t="n">
        <v>272</v>
      </c>
      <c r="J1158" s="1" t="inlineStr">
        <is>
          <t>РИПОЛ Классик</t>
        </is>
      </c>
      <c r="K1158" s="1" t="inlineStr">
        <is>
          <t>RUGRAM_РИПОЛ Классик</t>
        </is>
      </c>
      <c r="M1158" s="1" t="inlineStr">
        <is>
          <t>2022</t>
        </is>
      </c>
      <c r="N1158" s="1" t="inlineStr">
        <is>
          <t>П</t>
        </is>
      </c>
      <c r="O1158" s="9" t="n">
        <v>14</v>
      </c>
      <c r="P1158" s="1">
        <f>ROUNDUP(920*(1-$F$3),2)</f>
        <v/>
      </c>
      <c r="Q1158" s="1" t="inlineStr">
        <is>
          <t> </t>
        </is>
      </c>
      <c r="R1158" s="1" t="inlineStr">
        <is>
          <t>978-5-386-12901-9</t>
        </is>
      </c>
      <c r="S1158" s="1" t="inlineStr">
        <is>
          <t>9785386129019</t>
        </is>
      </c>
      <c r="T1158" s="9" t="n">
        <v>10</v>
      </c>
      <c r="U1158" s="1">
        <f>ROUNDUP(836.36*(1-$F$3),2)</f>
        <v/>
      </c>
      <c r="V1158" s="1" t="n">
        <v>301</v>
      </c>
      <c r="Y1158" s="1" t="inlineStr">
        <is>
          <t>Сокровенное таинство: роман</t>
        </is>
      </c>
      <c r="Z1158" s="1" t="inlineStr">
        <is>
          <t>12+</t>
        </is>
      </c>
      <c r="AA1158" s="12" t="n">
        <v>44620</v>
      </c>
      <c r="AB1158" s="1" t="inlineStr">
        <is>
          <t>Художественная литература</t>
        </is>
      </c>
      <c r="AC1158" s="1" t="inlineStr">
        <is>
          <t>Детективы. Боевики. Триллеры</t>
        </is>
      </c>
      <c r="AD1158" s="1" t="inlineStr">
        <is>
          <t>Зарубежный детектив</t>
        </is>
      </c>
      <c r="AE1158" s="1" t="inlineStr">
        <is>
          <t>газетная</t>
        </is>
      </c>
      <c r="AG1158" s="1" t="n">
        <v>10362120</v>
      </c>
      <c r="AI1158" s="1" t="inlineStr">
        <is>
          <t>4901990000</t>
        </is>
      </c>
    </row>
    <row r="1159" customFormat="1" s="1">
      <c r="C1159" s="1" t="inlineStr">
        <is>
          <t xml:space="preserve">10492440            </t>
        </is>
      </c>
      <c r="D1159" s="1" t="inlineStr">
        <is>
          <t>Шедевры исторического детектива</t>
        </is>
      </c>
      <c r="E1159" s="1" t="inlineStr">
        <is>
          <t>Эйтонский отшельник: роман. Питерс Э</t>
        </is>
      </c>
      <c r="F1159" s="13" t="inlineStr">
        <is>
          <t>См.обл.</t>
        </is>
      </c>
      <c r="G1159" s="1" t="inlineStr">
        <is>
          <t>Питерс Э</t>
        </is>
      </c>
      <c r="H1159" s="1" t="inlineStr">
        <is>
          <t>84х108/32</t>
        </is>
      </c>
      <c r="I1159" s="1" t="n">
        <v>256</v>
      </c>
      <c r="J1159" s="1" t="inlineStr">
        <is>
          <t>РИПОЛ Классик</t>
        </is>
      </c>
      <c r="M1159" s="1" t="inlineStr">
        <is>
          <t>2022</t>
        </is>
      </c>
      <c r="N1159" s="1" t="inlineStr">
        <is>
          <t>П</t>
        </is>
      </c>
      <c r="O1159" s="9" t="n">
        <v>14</v>
      </c>
      <c r="P1159" s="1">
        <f>ROUNDUP(1030*(1-$F$3),2)</f>
        <v/>
      </c>
      <c r="Q1159" s="1" t="inlineStr">
        <is>
          <t> </t>
        </is>
      </c>
      <c r="R1159" s="1" t="inlineStr">
        <is>
          <t>978-5-386-14743-3</t>
        </is>
      </c>
      <c r="S1159" s="1" t="inlineStr">
        <is>
          <t>9785386147433</t>
        </is>
      </c>
      <c r="T1159" s="9" t="n">
        <v>10</v>
      </c>
      <c r="U1159" s="1">
        <f>ROUNDUP(936.36*(1-$F$3),2)</f>
        <v/>
      </c>
      <c r="V1159" s="1" t="n">
        <v>287</v>
      </c>
      <c r="Y1159" s="1" t="inlineStr">
        <is>
          <t>Эйтонский отшельник: роман</t>
        </is>
      </c>
      <c r="Z1159" s="1" t="inlineStr">
        <is>
          <t>12+</t>
        </is>
      </c>
      <c r="AA1159" s="12" t="n">
        <v>44783</v>
      </c>
      <c r="AB1159" s="1" t="inlineStr">
        <is>
          <t>Художественная литература</t>
        </is>
      </c>
      <c r="AC1159" s="1" t="inlineStr">
        <is>
          <t>Детективы. Боевики. Триллеры</t>
        </is>
      </c>
      <c r="AD1159" s="1" t="inlineStr">
        <is>
          <t>Зарубежный детектив</t>
        </is>
      </c>
      <c r="AE1159" s="1" t="inlineStr">
        <is>
          <t>офсетная</t>
        </is>
      </c>
      <c r="AG1159" s="1" t="n">
        <v>10492440</v>
      </c>
      <c r="AI1159" s="1" t="inlineStr">
        <is>
          <t>4901990000</t>
        </is>
      </c>
    </row>
    <row r="1160" customFormat="1" s="1">
      <c r="C1160" s="1" t="inlineStr">
        <is>
          <t xml:space="preserve">11502890            </t>
        </is>
      </c>
      <c r="D1160" s="1" t="inlineStr">
        <is>
          <t>Школа цифрового психоанализа</t>
        </is>
      </c>
      <c r="E1160" s="1" t="inlineStr">
        <is>
          <t>Цифровой прогноз. 2025 год. Александрова А</t>
        </is>
      </c>
      <c r="F1160" s="13" t="inlineStr">
        <is>
          <t>См.обл.</t>
        </is>
      </c>
      <c r="G1160" s="1" t="inlineStr">
        <is>
          <t>Александрова А</t>
        </is>
      </c>
      <c r="H1160" s="1" t="inlineStr">
        <is>
          <t>84х108/32</t>
        </is>
      </c>
      <c r="I1160" s="1" t="n">
        <v>272</v>
      </c>
      <c r="J1160" s="1" t="inlineStr">
        <is>
          <t>РИПОЛ Классик</t>
        </is>
      </c>
      <c r="M1160" s="1" t="inlineStr">
        <is>
          <t>2025</t>
        </is>
      </c>
      <c r="N1160" s="1" t="inlineStr">
        <is>
          <t>О</t>
        </is>
      </c>
      <c r="O1160" s="9" t="n">
        <v>6</v>
      </c>
      <c r="P1160" s="1">
        <f>ROUNDUP(605*(1-$F$3),2)</f>
        <v/>
      </c>
      <c r="Q1160" s="1" t="inlineStr">
        <is>
          <t> </t>
        </is>
      </c>
      <c r="R1160" s="1" t="inlineStr">
        <is>
          <t>978-5-386-15350-2</t>
        </is>
      </c>
      <c r="S1160" s="1" t="inlineStr">
        <is>
          <t>9785386153502</t>
        </is>
      </c>
      <c r="T1160" s="9" t="n">
        <v>22</v>
      </c>
      <c r="U1160" s="1">
        <f>ROUNDUP(495.9*(1-$F$3),2)</f>
        <v/>
      </c>
      <c r="V1160" s="1" t="n">
        <v>226</v>
      </c>
      <c r="Y1160" s="1" t="inlineStr">
        <is>
          <t>Цифровой прогноз. 2025 год</t>
        </is>
      </c>
      <c r="Z1160" s="1" t="inlineStr">
        <is>
          <t>16+</t>
        </is>
      </c>
      <c r="AA1160" s="12" t="n">
        <v>45590</v>
      </c>
      <c r="AB1160" s="1" t="inlineStr">
        <is>
          <t>Религии. Эзотерика. Оккультизм</t>
        </is>
      </c>
      <c r="AC1160" s="1" t="inlineStr">
        <is>
          <t>Эзотерика. Парапсихология. Тайны</t>
        </is>
      </c>
      <c r="AD1160" s="1" t="inlineStr">
        <is>
          <t>Астрология. Нумерология</t>
        </is>
      </c>
      <c r="AE1160" s="1" t="inlineStr">
        <is>
          <t>офсетная</t>
        </is>
      </c>
      <c r="AG1160" s="1" t="n">
        <v>11502890</v>
      </c>
      <c r="AI1160" s="1" t="inlineStr">
        <is>
          <t>4901990000</t>
        </is>
      </c>
    </row>
    <row r="1161" customFormat="1" s="1">
      <c r="C1161" s="1" t="inlineStr">
        <is>
          <t>11782510</t>
        </is>
      </c>
      <c r="D1161" s="1" t="inlineStr">
        <is>
          <t>Школа цифрового психоанализа</t>
        </is>
      </c>
      <c r="E1161" s="1" t="inlineStr">
        <is>
          <t>Цифровой прогноз. 2025 год; Цифровой прогноз. 2025 год: Ежедневник (комплект из 2-х книг). Александрова А</t>
        </is>
      </c>
      <c r="F1161" s="13" t="inlineStr">
        <is>
          <t>См.обл.</t>
        </is>
      </c>
      <c r="G1161" s="1" t="inlineStr">
        <is>
          <t>Александрова А</t>
        </is>
      </c>
      <c r="H1161" s="1" t="inlineStr">
        <is>
          <t>84х108/32</t>
        </is>
      </c>
      <c r="I1161" s="1" t="n">
        <v>672</v>
      </c>
      <c r="J1161" s="1" t="inlineStr">
        <is>
          <t>РИПОЛ Классик</t>
        </is>
      </c>
      <c r="M1161" s="1" t="inlineStr">
        <is>
          <t>2025</t>
        </is>
      </c>
      <c r="N1161" s="1" t="inlineStr">
        <is>
          <t>П</t>
        </is>
      </c>
      <c r="O1161" s="9" t="n"/>
      <c r="P1161" s="1">
        <f>ROUNDUP(1720*(1-$F$3),2)</f>
        <v/>
      </c>
      <c r="Q1161" s="1" t="inlineStr">
        <is>
          <t> </t>
        </is>
      </c>
      <c r="R1161" s="1" t="inlineStr">
        <is>
          <t>978-5-8853-6995-4</t>
        </is>
      </c>
      <c r="S1161" s="1" t="inlineStr">
        <is>
          <t>9785885369954</t>
        </is>
      </c>
      <c r="T1161" s="9" t="n">
        <v>22</v>
      </c>
      <c r="U1161" s="1">
        <f>ROUNDUP(1409.84*(1-$F$3),2)</f>
        <v/>
      </c>
      <c r="V1161" s="1" t="n">
        <v>814</v>
      </c>
      <c r="Y1161" s="1" t="inlineStr">
        <is>
          <t>Цифровой прогноз. 2025 год; Цифровой прогноз. 2025 год: Ежедневник (комплект из 2-х книг)</t>
        </is>
      </c>
      <c r="Z1161" s="1" t="inlineStr">
        <is>
          <t>16+</t>
        </is>
      </c>
      <c r="AA1161" s="12" t="n">
        <v>45814</v>
      </c>
      <c r="AB1161" s="1" t="inlineStr">
        <is>
          <t>Религии. Эзотерика. Оккультизм</t>
        </is>
      </c>
      <c r="AC1161" s="1" t="inlineStr">
        <is>
          <t>Эзотерика. Парапсихология. Тайны</t>
        </is>
      </c>
      <c r="AD1161" s="1" t="inlineStr">
        <is>
          <t>Астрология. Нумерология</t>
        </is>
      </c>
      <c r="AE1161" s="1" t="inlineStr">
        <is>
          <t>офсетная</t>
        </is>
      </c>
      <c r="AG1161" s="1" t="n">
        <v>11782510</v>
      </c>
      <c r="AI1161" s="1" t="inlineStr">
        <is>
          <t>4901990000</t>
        </is>
      </c>
    </row>
    <row r="1162" customFormat="1" s="11">
      <c r="A1162" s="11" t="inlineStr">
        <is>
          <t>нов</t>
        </is>
      </c>
      <c r="C1162" s="11" t="inlineStr">
        <is>
          <t xml:space="preserve">12249000            </t>
        </is>
      </c>
      <c r="D1162" s="11" t="inlineStr">
        <is>
          <t>Школа цифрового психоанализа</t>
        </is>
      </c>
      <c r="E1162" s="11" t="inlineStr">
        <is>
          <t>Цифровой прогноз. 2027 год. Александрова А.</t>
        </is>
      </c>
      <c r="F1162" s="14" t="inlineStr">
        <is>
          <t>См.обл.</t>
        </is>
      </c>
      <c r="G1162" s="11" t="inlineStr">
        <is>
          <t>Александрова А.</t>
        </is>
      </c>
      <c r="H1162" s="11" t="inlineStr">
        <is>
          <t>84х108/32</t>
        </is>
      </c>
      <c r="I1162" s="11" t="n">
        <v>256</v>
      </c>
      <c r="J1162" s="11" t="inlineStr">
        <is>
          <t>РИПОЛ Классик</t>
        </is>
      </c>
      <c r="M1162" s="11" t="inlineStr">
        <is>
          <t>2026</t>
        </is>
      </c>
      <c r="N1162" s="11" t="inlineStr">
        <is>
          <t>О</t>
        </is>
      </c>
      <c r="O1162" s="26" t="n">
        <v>16</v>
      </c>
      <c r="P1162" s="11">
        <f>ROUNDUP(590*(1-$F$3),2)</f>
        <v/>
      </c>
      <c r="Q1162" s="11" t="inlineStr">
        <is>
          <t> </t>
        </is>
      </c>
      <c r="R1162" s="11" t="inlineStr">
        <is>
          <t>978-5-386-15676-3</t>
        </is>
      </c>
      <c r="S1162" s="11" t="inlineStr">
        <is>
          <t>9785386156763</t>
        </is>
      </c>
      <c r="T1162" s="26" t="n">
        <v>22</v>
      </c>
      <c r="U1162" s="11">
        <f>ROUNDUP(483.61*(1-$F$3),2)</f>
        <v/>
      </c>
      <c r="V1162" s="11" t="n">
        <v>208</v>
      </c>
      <c r="Y1162" s="11" t="inlineStr">
        <is>
          <t>Цифровой прогноз. 2027 год</t>
        </is>
      </c>
      <c r="Z1162" s="11" t="inlineStr">
        <is>
          <t>16+</t>
        </is>
      </c>
      <c r="AA1162" s="15" t="n">
        <v>46265</v>
      </c>
      <c r="AB1162" s="11" t="inlineStr">
        <is>
          <t>Религии. Эзотерика. Оккультизм</t>
        </is>
      </c>
      <c r="AC1162" s="11" t="inlineStr">
        <is>
          <t>Эзотерика. Парапсихология. Тайны</t>
        </is>
      </c>
      <c r="AD1162" s="11" t="inlineStr">
        <is>
          <t>Астрология. Нумерология</t>
        </is>
      </c>
      <c r="AE1162" s="11" t="inlineStr">
        <is>
          <t>офсетная</t>
        </is>
      </c>
      <c r="AG1162" s="11" t="n">
        <v>12249000</v>
      </c>
      <c r="AI1162" s="11" t="inlineStr">
        <is>
          <t>4901990000</t>
        </is>
      </c>
    </row>
    <row r="1163" customFormat="1" s="1">
      <c r="C1163" s="1" t="inlineStr">
        <is>
          <t xml:space="preserve">9612360             </t>
        </is>
      </c>
      <c r="D1163" s="1" t="inlineStr">
        <is>
          <t>Школьная библиотека историй и приключений</t>
        </is>
      </c>
      <c r="E1163" s="1" t="inlineStr">
        <is>
          <t>Каникулы Петрова и Васечкина. Алеников В.М.</t>
        </is>
      </c>
      <c r="F1163" s="13" t="inlineStr">
        <is>
          <t>См.обл.</t>
        </is>
      </c>
      <c r="G1163" s="1" t="inlineStr">
        <is>
          <t>Алеников В.М.</t>
        </is>
      </c>
      <c r="H1163" s="1" t="inlineStr">
        <is>
          <t>60х90/16</t>
        </is>
      </c>
      <c r="I1163" s="1" t="n">
        <v>184</v>
      </c>
      <c r="J1163" s="1" t="inlineStr">
        <is>
          <t>РИПОЛ Классик</t>
        </is>
      </c>
      <c r="M1163" s="1" t="inlineStr">
        <is>
          <t>2026</t>
        </is>
      </c>
      <c r="N1163" s="1" t="inlineStr">
        <is>
          <t>П</t>
        </is>
      </c>
      <c r="O1163" s="9" t="n">
        <v>10</v>
      </c>
      <c r="P1163" s="1">
        <f>ROUNDUP(990*(1-$F$3),2)</f>
        <v/>
      </c>
      <c r="Q1163" s="1" t="inlineStr">
        <is>
          <t> </t>
        </is>
      </c>
      <c r="R1163" s="1" t="inlineStr">
        <is>
          <t>978-5-386-13808-0</t>
        </is>
      </c>
      <c r="S1163" s="1" t="inlineStr">
        <is>
          <t>9785386138080</t>
        </is>
      </c>
      <c r="T1163" s="9" t="n">
        <v>10</v>
      </c>
      <c r="U1163" s="1">
        <f>ROUNDUP(900*(1-$F$3),2)</f>
        <v/>
      </c>
      <c r="V1163" s="1" t="n">
        <v>335</v>
      </c>
      <c r="Y1163" s="1" t="inlineStr">
        <is>
          <t>Каникулы Петрова и Васечкина</t>
        </is>
      </c>
      <c r="Z1163" s="1" t="inlineStr">
        <is>
          <t>12+</t>
        </is>
      </c>
      <c r="AA1163" s="12" t="n">
        <v>44210</v>
      </c>
      <c r="AB1163" s="1" t="inlineStr">
        <is>
          <t>Детская литература</t>
        </is>
      </c>
      <c r="AC1163" s="1" t="inlineStr">
        <is>
          <t>Художественная литература</t>
        </is>
      </c>
      <c r="AD1163" s="1" t="inlineStr">
        <is>
          <t>Приключения</t>
        </is>
      </c>
      <c r="AE1163" s="1" t="inlineStr">
        <is>
          <t>офсетная</t>
        </is>
      </c>
      <c r="AG1163" s="1" t="n">
        <v>9612360</v>
      </c>
      <c r="AI1163" s="1" t="inlineStr">
        <is>
          <t>4901990000</t>
        </is>
      </c>
    </row>
    <row r="1164" customFormat="1" s="1">
      <c r="C1164" s="1" t="inlineStr">
        <is>
          <t xml:space="preserve">11012580            </t>
        </is>
      </c>
      <c r="D1164" s="1" t="inlineStr">
        <is>
          <t>Школьная программа</t>
        </is>
      </c>
      <c r="E1164" s="1" t="inlineStr">
        <is>
          <t>Барбос и Жулька: рассказы. Куприн А.И.</t>
        </is>
      </c>
      <c r="F1164" s="13" t="inlineStr">
        <is>
          <t>См.обл.</t>
        </is>
      </c>
      <c r="G1164" s="1" t="inlineStr">
        <is>
          <t>Куприн А.И.</t>
        </is>
      </c>
      <c r="H1164" s="1" t="inlineStr">
        <is>
          <t>84х108/32</t>
        </is>
      </c>
      <c r="I1164" s="1" t="n">
        <v>224</v>
      </c>
      <c r="J1164" s="1" t="inlineStr">
        <is>
          <t>РИПОЛ Классик</t>
        </is>
      </c>
      <c r="M1164" s="1" t="inlineStr">
        <is>
          <t>2026</t>
        </is>
      </c>
      <c r="N1164" s="1" t="inlineStr">
        <is>
          <t>П</t>
        </is>
      </c>
      <c r="O1164" s="9" t="n">
        <v>14</v>
      </c>
      <c r="P1164" s="1">
        <f>ROUNDUP(800*(1-$F$3),2)</f>
        <v/>
      </c>
      <c r="Q1164" s="1" t="inlineStr">
        <is>
          <t> </t>
        </is>
      </c>
      <c r="R1164" s="1" t="inlineStr">
        <is>
          <t>978-5-386-15080-8</t>
        </is>
      </c>
      <c r="S1164" s="1" t="inlineStr">
        <is>
          <t>9785386150808</t>
        </is>
      </c>
      <c r="T1164" s="9" t="n">
        <v>10</v>
      </c>
      <c r="U1164" s="1">
        <f>ROUNDUP(727.27*(1-$F$3),2)</f>
        <v/>
      </c>
      <c r="V1164" s="1" t="n">
        <v>323</v>
      </c>
      <c r="Y1164" s="1" t="inlineStr">
        <is>
          <t>Барбос и Жулька: рассказы</t>
        </is>
      </c>
      <c r="Z1164" s="1" t="inlineStr">
        <is>
          <t>6 +</t>
        </is>
      </c>
      <c r="AA1164" s="12" t="n">
        <v>45141</v>
      </c>
      <c r="AB1164" s="1" t="inlineStr">
        <is>
          <t>Детская литература</t>
        </is>
      </c>
      <c r="AC1164" s="1" t="inlineStr">
        <is>
          <t>Художественная литература</t>
        </is>
      </c>
      <c r="AD1164" s="1" t="inlineStr">
        <is>
          <t>Проза. Драматургия</t>
        </is>
      </c>
      <c r="AE1164" s="1" t="inlineStr">
        <is>
          <t>офсетная</t>
        </is>
      </c>
      <c r="AG1164" s="1" t="n">
        <v>11012580</v>
      </c>
      <c r="AI1164" s="1" t="inlineStr">
        <is>
          <t>4901990000</t>
        </is>
      </c>
    </row>
    <row r="1165" customFormat="1" s="1">
      <c r="C1165" s="1" t="inlineStr">
        <is>
          <t xml:space="preserve">11012660            </t>
        </is>
      </c>
      <c r="D1165" s="1" t="inlineStr">
        <is>
          <t>Школьная программа</t>
        </is>
      </c>
      <c r="E1165" s="1" t="inlineStr">
        <is>
          <t>Вечера на хуторе близ Диканьки: избранное. Гоголь Н.В.</t>
        </is>
      </c>
      <c r="F1165" s="13" t="inlineStr">
        <is>
          <t>См.обл.</t>
        </is>
      </c>
      <c r="G1165" s="1" t="inlineStr">
        <is>
          <t>Гоголь Н.В.</t>
        </is>
      </c>
      <c r="H1165" s="1" t="inlineStr">
        <is>
          <t>60х90/16</t>
        </is>
      </c>
      <c r="I1165" s="1" t="n">
        <v>256</v>
      </c>
      <c r="J1165" s="1" t="inlineStr">
        <is>
          <t>РИПОЛ Классик</t>
        </is>
      </c>
      <c r="M1165" s="1" t="inlineStr">
        <is>
          <t>2023</t>
        </is>
      </c>
      <c r="N1165" s="1" t="inlineStr">
        <is>
          <t>П</t>
        </is>
      </c>
      <c r="O1165" s="9" t="n">
        <v>8</v>
      </c>
      <c r="P1165" s="1">
        <f>ROUNDUP(840*(1-$F$3),2)</f>
        <v/>
      </c>
      <c r="Q1165" s="1" t="inlineStr">
        <is>
          <t> </t>
        </is>
      </c>
      <c r="R1165" s="1" t="inlineStr">
        <is>
          <t>978-5-386-15079-2</t>
        </is>
      </c>
      <c r="S1165" s="1" t="inlineStr">
        <is>
          <t>9785386150792</t>
        </is>
      </c>
      <c r="T1165" s="9" t="n">
        <v>10</v>
      </c>
      <c r="U1165" s="1">
        <f>ROUNDUP(763.64*(1-$F$3),2)</f>
        <v/>
      </c>
      <c r="V1165" s="1" t="n">
        <v>429</v>
      </c>
      <c r="Y1165" s="1" t="inlineStr">
        <is>
          <t>Вечера на хуторе близ Диканьки: избранное</t>
        </is>
      </c>
      <c r="Z1165" s="1" t="inlineStr">
        <is>
          <t>12+</t>
        </is>
      </c>
      <c r="AA1165" s="12" t="n">
        <v>45141</v>
      </c>
      <c r="AB1165" s="1" t="inlineStr">
        <is>
          <t>Художественная литература</t>
        </is>
      </c>
      <c r="AC1165" s="1" t="inlineStr">
        <is>
          <t>Русская литература</t>
        </is>
      </c>
      <c r="AD1165" s="1" t="inlineStr">
        <is>
          <t>Русская литература XVIII-нач. XX вв. (до 1917 г.)</t>
        </is>
      </c>
      <c r="AE1165" s="1" t="inlineStr">
        <is>
          <t>офсетная</t>
        </is>
      </c>
      <c r="AG1165" s="1" t="n">
        <v>11012660</v>
      </c>
      <c r="AI1165" s="1" t="inlineStr">
        <is>
          <t>4901990000</t>
        </is>
      </c>
    </row>
    <row r="1166" customFormat="1" s="1">
      <c r="C1166" s="1" t="inlineStr">
        <is>
          <t xml:space="preserve">11012590            </t>
        </is>
      </c>
      <c r="D1166" s="1" t="inlineStr">
        <is>
          <t>Школьная программа</t>
        </is>
      </c>
      <c r="E1166" s="1" t="inlineStr">
        <is>
          <t>Иркутская история: пьесы. Арбузов А.Н.</t>
        </is>
      </c>
      <c r="F1166" s="13" t="inlineStr">
        <is>
          <t>См.обл.</t>
        </is>
      </c>
      <c r="G1166" s="1" t="inlineStr">
        <is>
          <t>Арбузов А.Н.</t>
        </is>
      </c>
      <c r="H1166" s="1" t="inlineStr">
        <is>
          <t>84х108/32</t>
        </is>
      </c>
      <c r="I1166" s="1" t="n">
        <v>320</v>
      </c>
      <c r="J1166" s="1" t="inlineStr">
        <is>
          <t>РИПОЛ Классик</t>
        </is>
      </c>
      <c r="M1166" s="1" t="inlineStr">
        <is>
          <t>2023</t>
        </is>
      </c>
      <c r="N1166" s="1" t="inlineStr">
        <is>
          <t>П</t>
        </is>
      </c>
      <c r="O1166" s="9" t="n">
        <v>8</v>
      </c>
      <c r="P1166" s="1">
        <f>ROUNDUP(770*(1-$F$3),2)</f>
        <v/>
      </c>
      <c r="Q1166" s="1" t="inlineStr">
        <is>
          <t> </t>
        </is>
      </c>
      <c r="R1166" s="1" t="inlineStr">
        <is>
          <t>978-5-386-15083-9</t>
        </is>
      </c>
      <c r="S1166" s="1" t="inlineStr">
        <is>
          <t>9785386150839</t>
        </is>
      </c>
      <c r="T1166" s="9" t="n">
        <v>10</v>
      </c>
      <c r="U1166" s="1">
        <f>ROUNDUP(700*(1-$F$3),2)</f>
        <v/>
      </c>
      <c r="V1166" s="1" t="n">
        <v>358</v>
      </c>
      <c r="Y1166" s="1" t="inlineStr">
        <is>
          <t>Иркутская история: пьесы</t>
        </is>
      </c>
      <c r="Z1166" s="1" t="inlineStr">
        <is>
          <t>12+</t>
        </is>
      </c>
      <c r="AA1166" s="12" t="n">
        <v>45141</v>
      </c>
      <c r="AB1166" s="1" t="inlineStr">
        <is>
          <t>Художественная литература</t>
        </is>
      </c>
      <c r="AC1166" s="1" t="inlineStr">
        <is>
          <t>Драматургия</t>
        </is>
      </c>
      <c r="AD1166" s="1" t="inlineStr">
        <is>
          <t>Русская драматургия</t>
        </is>
      </c>
      <c r="AE1166" s="1" t="inlineStr">
        <is>
          <t>офсетная</t>
        </is>
      </c>
      <c r="AG1166" s="1" t="n">
        <v>11012590</v>
      </c>
      <c r="AI1166" s="1" t="inlineStr">
        <is>
          <t>4901990000</t>
        </is>
      </c>
    </row>
    <row r="1167" customFormat="1" s="1">
      <c r="C1167" s="1" t="inlineStr">
        <is>
          <t xml:space="preserve">11012650            </t>
        </is>
      </c>
      <c r="D1167" s="1" t="inlineStr">
        <is>
          <t>Школьная программа</t>
        </is>
      </c>
      <c r="E1167" s="1" t="inlineStr">
        <is>
          <t>Русская классика для детей. Пушкин А.С., Лермонтов М.Ю., Крылов И.А</t>
        </is>
      </c>
      <c r="F1167" s="13" t="inlineStr">
        <is>
          <t>См.обл.</t>
        </is>
      </c>
      <c r="G1167" s="1" t="inlineStr">
        <is>
          <t>Пушкин А.С., Лермонтов М.Ю., Крылов И.А</t>
        </is>
      </c>
      <c r="H1167" s="1" t="inlineStr">
        <is>
          <t>84х108/32</t>
        </is>
      </c>
      <c r="I1167" s="1" t="n">
        <v>192</v>
      </c>
      <c r="J1167" s="1" t="inlineStr">
        <is>
          <t>РИПОЛ Классик</t>
        </is>
      </c>
      <c r="M1167" s="1" t="inlineStr">
        <is>
          <t>2023</t>
        </is>
      </c>
      <c r="N1167" s="1" t="inlineStr">
        <is>
          <t>П</t>
        </is>
      </c>
      <c r="O1167" s="9" t="n">
        <v>10</v>
      </c>
      <c r="P1167" s="1">
        <f>ROUNDUP(770*(1-$F$3),2)</f>
        <v/>
      </c>
      <c r="Q1167" s="1" t="inlineStr">
        <is>
          <t> </t>
        </is>
      </c>
      <c r="R1167" s="1" t="inlineStr">
        <is>
          <t>978-5-386-15082-2</t>
        </is>
      </c>
      <c r="S1167" s="1" t="inlineStr">
        <is>
          <t>9785386150822</t>
        </is>
      </c>
      <c r="T1167" s="9" t="n">
        <v>10</v>
      </c>
      <c r="U1167" s="1">
        <f>ROUNDUP(700*(1-$F$3),2)</f>
        <v/>
      </c>
      <c r="V1167" s="1" t="n">
        <v>293</v>
      </c>
      <c r="Y1167" s="1" t="inlineStr">
        <is>
          <t>Русская классика для детей</t>
        </is>
      </c>
      <c r="Z1167" s="1" t="inlineStr">
        <is>
          <t>6 +</t>
        </is>
      </c>
      <c r="AA1167" s="12" t="n">
        <v>45141</v>
      </c>
      <c r="AB1167" s="1" t="inlineStr">
        <is>
          <t>Детская литература</t>
        </is>
      </c>
      <c r="AC1167" s="1" t="inlineStr">
        <is>
          <t>Художественная литература</t>
        </is>
      </c>
      <c r="AD1167" s="1" t="inlineStr">
        <is>
          <t>Сборники. Хрестоматии</t>
        </is>
      </c>
      <c r="AE1167" s="1" t="inlineStr">
        <is>
          <t>офсетная</t>
        </is>
      </c>
      <c r="AG1167" s="1" t="n">
        <v>11012650</v>
      </c>
      <c r="AI1167" s="1" t="inlineStr">
        <is>
          <t>4901990000</t>
        </is>
      </c>
    </row>
    <row r="1168" customFormat="1" s="1">
      <c r="C1168" s="1" t="inlineStr">
        <is>
          <t xml:space="preserve">11012430            </t>
        </is>
      </c>
      <c r="D1168" s="1" t="inlineStr">
        <is>
          <t>Школьная программа</t>
        </is>
      </c>
      <c r="E1168" s="1" t="inlineStr">
        <is>
          <t>Чудесный доктор: рассказы. Куприн А.И.</t>
        </is>
      </c>
      <c r="F1168" s="13" t="inlineStr">
        <is>
          <t>См.обл.</t>
        </is>
      </c>
      <c r="G1168" s="1" t="inlineStr">
        <is>
          <t>Куприн А.И.</t>
        </is>
      </c>
      <c r="H1168" s="1" t="inlineStr">
        <is>
          <t>84х108/32</t>
        </is>
      </c>
      <c r="I1168" s="1" t="n">
        <v>192</v>
      </c>
      <c r="J1168" s="1" t="inlineStr">
        <is>
          <t>РИПОЛ Классик</t>
        </is>
      </c>
      <c r="M1168" s="1" t="inlineStr">
        <is>
          <t>2023</t>
        </is>
      </c>
      <c r="N1168" s="1" t="inlineStr">
        <is>
          <t>П</t>
        </is>
      </c>
      <c r="O1168" s="9" t="n">
        <v>10</v>
      </c>
      <c r="P1168" s="1">
        <f>ROUNDUP(710*(1-$F$3),2)</f>
        <v/>
      </c>
      <c r="Q1168" s="1" t="inlineStr">
        <is>
          <t> </t>
        </is>
      </c>
      <c r="R1168" s="1" t="inlineStr">
        <is>
          <t>978-5-386-15081-5</t>
        </is>
      </c>
      <c r="S1168" s="1" t="inlineStr">
        <is>
          <t>9785386150815</t>
        </is>
      </c>
      <c r="T1168" s="9" t="n">
        <v>10</v>
      </c>
      <c r="U1168" s="1">
        <f>ROUNDUP(645.45*(1-$F$3),2)</f>
        <v/>
      </c>
      <c r="V1168" s="1" t="n">
        <v>254</v>
      </c>
      <c r="Y1168" s="1" t="inlineStr">
        <is>
          <t>Чудесный доктор: рассказы</t>
        </is>
      </c>
      <c r="Z1168" s="1" t="inlineStr">
        <is>
          <t>6 +</t>
        </is>
      </c>
      <c r="AA1168" s="12" t="n">
        <v>45141</v>
      </c>
      <c r="AB1168" s="1" t="inlineStr">
        <is>
          <t>Детская литература</t>
        </is>
      </c>
      <c r="AC1168" s="1" t="inlineStr">
        <is>
          <t>Художественная литература</t>
        </is>
      </c>
      <c r="AD1168" s="1" t="inlineStr">
        <is>
          <t>Проза. Драматургия</t>
        </is>
      </c>
      <c r="AE1168" s="1" t="inlineStr">
        <is>
          <t>офсетная</t>
        </is>
      </c>
      <c r="AG1168" s="1" t="n">
        <v>11012430</v>
      </c>
      <c r="AI1168" s="1" t="inlineStr">
        <is>
          <t>4901990000</t>
        </is>
      </c>
    </row>
    <row r="1169" customFormat="1" s="1">
      <c r="C1169" s="1" t="inlineStr">
        <is>
          <t xml:space="preserve">9805820             </t>
        </is>
      </c>
      <c r="D1169" s="1" t="inlineStr">
        <is>
          <t>Экономика и власть</t>
        </is>
      </c>
      <c r="E1169" s="1" t="inlineStr">
        <is>
          <t>Закат империи доллара и конец "Pax Americana". Кобяков А.Б., Хазин М.Л.</t>
        </is>
      </c>
      <c r="F1169" s="13" t="inlineStr">
        <is>
          <t>См.обл.</t>
        </is>
      </c>
      <c r="G1169" s="1" t="inlineStr">
        <is>
          <t>Кобяков А.Б., Хазин М.Л.</t>
        </is>
      </c>
      <c r="H1169" s="1" t="inlineStr">
        <is>
          <t>60х90/16</t>
        </is>
      </c>
      <c r="I1169" s="1" t="n">
        <v>304</v>
      </c>
      <c r="J1169" s="1" t="inlineStr">
        <is>
          <t>РИПОЛ Классик</t>
        </is>
      </c>
      <c r="M1169" s="1" t="inlineStr">
        <is>
          <t>2026</t>
        </is>
      </c>
      <c r="N1169" s="1" t="inlineStr">
        <is>
          <t>О</t>
        </is>
      </c>
      <c r="O1169" s="9" t="n">
        <v>14</v>
      </c>
      <c r="P1169" s="1">
        <f>ROUNDUP(950*(1-$F$3),2)</f>
        <v/>
      </c>
      <c r="Q1169" s="1" t="inlineStr">
        <is>
          <t> </t>
        </is>
      </c>
      <c r="R1169" s="1" t="inlineStr">
        <is>
          <t>978-5-386-14433-3</t>
        </is>
      </c>
      <c r="S1169" s="1" t="inlineStr">
        <is>
          <t>9785386144333</t>
        </is>
      </c>
      <c r="T1169" s="9" t="n">
        <v>10</v>
      </c>
      <c r="U1169" s="1">
        <f>ROUNDUP(863.64*(1-$F$3),2)</f>
        <v/>
      </c>
      <c r="V1169" s="1" t="n">
        <v>286</v>
      </c>
      <c r="Y1169" s="1" t="inlineStr">
        <is>
          <t>Закат империи доллара и конец "Pax Americana"</t>
        </is>
      </c>
      <c r="Z1169" s="1" t="inlineStr">
        <is>
          <t>12+</t>
        </is>
      </c>
      <c r="AA1169" s="12" t="n">
        <v>44418</v>
      </c>
      <c r="AB1169" s="1" t="inlineStr">
        <is>
          <t>Экономика. Экономические науки</t>
        </is>
      </c>
      <c r="AC1169" s="1" t="inlineStr">
        <is>
          <t>Экономика</t>
        </is>
      </c>
      <c r="AD1169" s="1" t="inlineStr">
        <is>
          <t>Мировая экономика. Международные экономические отношения</t>
        </is>
      </c>
      <c r="AE1169" s="1" t="inlineStr">
        <is>
          <t>газетная</t>
        </is>
      </c>
      <c r="AG1169" s="1" t="n">
        <v>9805820</v>
      </c>
      <c r="AI1169" s="1" t="inlineStr">
        <is>
          <t>4901990000</t>
        </is>
      </c>
    </row>
    <row r="1170" customFormat="1" s="1">
      <c r="C1170" s="1" t="inlineStr">
        <is>
          <t xml:space="preserve">9706720             </t>
        </is>
      </c>
      <c r="D1170" s="1" t="inlineStr">
        <is>
          <t>Экономика и власть</t>
        </is>
      </c>
      <c r="E1170" s="1" t="inlineStr">
        <is>
          <t>Лестница в небо. Диалоги о власти, карьере и мировой элите. Хазин М.Л., Щеглов С.И.</t>
        </is>
      </c>
      <c r="F1170" s="13" t="inlineStr">
        <is>
          <t>См.обл.</t>
        </is>
      </c>
      <c r="G1170" s="1" t="inlineStr">
        <is>
          <t>Хазин М.Л., Щеглов С.И.</t>
        </is>
      </c>
      <c r="H1170" s="1" t="inlineStr">
        <is>
          <t>60х90/16</t>
        </is>
      </c>
      <c r="I1170" s="1" t="n">
        <v>624</v>
      </c>
      <c r="J1170" s="1" t="inlineStr">
        <is>
          <t>РИПОЛ Классик</t>
        </is>
      </c>
      <c r="M1170" s="1" t="inlineStr">
        <is>
          <t>2025</t>
        </is>
      </c>
      <c r="N1170" s="1" t="inlineStr">
        <is>
          <t>О</t>
        </is>
      </c>
      <c r="O1170" s="9" t="n">
        <v>4</v>
      </c>
      <c r="P1170" s="1">
        <f>ROUNDUP(1350*(1-$F$3),2)</f>
        <v/>
      </c>
      <c r="Q1170" s="1" t="inlineStr">
        <is>
          <t> </t>
        </is>
      </c>
      <c r="R1170" s="1" t="inlineStr">
        <is>
          <t>978-5-386-14060-1</t>
        </is>
      </c>
      <c r="S1170" s="1" t="inlineStr">
        <is>
          <t>9785386140601</t>
        </is>
      </c>
      <c r="T1170" s="9" t="n">
        <v>10</v>
      </c>
      <c r="U1170" s="1">
        <f>ROUNDUP(1227.27*(1-$F$3),2)</f>
        <v/>
      </c>
      <c r="V1170" s="1" t="n">
        <v>554</v>
      </c>
      <c r="Y1170" s="1" t="inlineStr">
        <is>
          <t>Лестница в небо. Диалоги о власти, карьере и мировой элите</t>
        </is>
      </c>
      <c r="Z1170" s="1" t="inlineStr">
        <is>
          <t>12+</t>
        </is>
      </c>
      <c r="AA1170" s="12" t="n">
        <v>44342</v>
      </c>
      <c r="AB1170" s="1" t="inlineStr">
        <is>
          <t>Общественные науки</t>
        </is>
      </c>
      <c r="AC1170" s="1" t="inlineStr">
        <is>
          <t>Политика</t>
        </is>
      </c>
      <c r="AD1170" s="1" t="inlineStr">
        <is>
          <t>Государственное управление. Власть</t>
        </is>
      </c>
      <c r="AE1170" s="1" t="inlineStr">
        <is>
          <t>офсетная</t>
        </is>
      </c>
      <c r="AG1170" s="1" t="n">
        <v>9706720</v>
      </c>
      <c r="AI1170" s="1" t="inlineStr">
        <is>
          <t>4901990000</t>
        </is>
      </c>
    </row>
    <row r="1171" customFormat="1" s="1">
      <c r="C1171" s="1" t="inlineStr">
        <is>
          <t>234067</t>
        </is>
      </c>
      <c r="D1171" s="1" t="inlineStr">
        <is>
          <t>Эксклюзив</t>
        </is>
      </c>
      <c r="E1171" s="1" t="inlineStr">
        <is>
          <t xml:space="preserve">Эксклюзив. Расти здоровой и счастливой! Первый альбом нашей малышки. </t>
        </is>
      </c>
      <c r="F1171" s="13" t="inlineStr">
        <is>
          <t>См.обл.</t>
        </is>
      </c>
      <c r="H1171" s="1" t="inlineStr">
        <is>
          <t>90х60/16</t>
        </is>
      </c>
      <c r="I1171" s="1" t="n">
        <v>125</v>
      </c>
      <c r="J1171" s="1" t="inlineStr">
        <is>
          <t>РИПОЛ Классик</t>
        </is>
      </c>
      <c r="M1171" s="1" t="inlineStr">
        <is>
          <t>2013</t>
        </is>
      </c>
      <c r="N1171" s="1" t="inlineStr">
        <is>
          <t>П</t>
        </is>
      </c>
      <c r="O1171" s="9" t="n">
        <v>24</v>
      </c>
      <c r="P1171" s="1">
        <f>ROUNDUP(1540.3*(1-$F$3),2)</f>
        <v/>
      </c>
      <c r="Q1171" s="1" t="inlineStr">
        <is>
          <t> </t>
        </is>
      </c>
      <c r="R1171" s="1" t="inlineStr">
        <is>
          <t>978-5-9567-1641-0</t>
        </is>
      </c>
      <c r="S1171" s="1" t="inlineStr">
        <is>
          <t>9785956716410</t>
        </is>
      </c>
      <c r="T1171" s="9" t="n">
        <v>22</v>
      </c>
      <c r="U1171" s="1">
        <f>ROUNDUP(1262.54*(1-$F$3),2)</f>
        <v/>
      </c>
      <c r="V1171" s="1" t="n">
        <v>385</v>
      </c>
      <c r="W1171" s="1" t="inlineStr">
        <is>
          <t xml:space="preserve">97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X1171" s="1" t="inlineStr">
        <is>
          <t xml:space="preserve">Книги для записей                                                                                                               </t>
        </is>
      </c>
      <c r="Y1171" s="1" t="inlineStr">
        <is>
          <t>Эксклюзив. Расти здоровой и счастливой! Первый альбом нашей малышки</t>
        </is>
      </c>
      <c r="AA1171" s="12" t="n">
        <v>41393</v>
      </c>
      <c r="AB1171" s="1" t="inlineStr">
        <is>
          <t>Детская литература</t>
        </is>
      </c>
      <c r="AC1171" s="1" t="inlineStr">
        <is>
          <t>Книги для родителей</t>
        </is>
      </c>
      <c r="AD1171" s="1" t="inlineStr">
        <is>
          <t>Альбом малыша</t>
        </is>
      </c>
      <c r="AE1171" s="1" t="inlineStr">
        <is>
          <t> </t>
        </is>
      </c>
      <c r="AG1171" s="1" t="n">
        <v>5503660</v>
      </c>
    </row>
    <row r="1172" customFormat="1" s="1">
      <c r="C1172" s="1" t="inlineStr">
        <is>
          <t xml:space="preserve">8433250             </t>
        </is>
      </c>
      <c r="D1172" s="1" t="inlineStr">
        <is>
          <t>Элизабет Гилберт</t>
        </is>
      </c>
      <c r="E1172" s="1" t="inlineStr">
        <is>
          <t>Большое волшебство. Гилберт Э.</t>
        </is>
      </c>
      <c r="F1172" s="13" t="inlineStr">
        <is>
          <t>См.обл.</t>
        </is>
      </c>
      <c r="G1172" s="1" t="inlineStr">
        <is>
          <t>Гилберт Э.</t>
        </is>
      </c>
      <c r="H1172" s="1" t="inlineStr">
        <is>
          <t>60х90/16</t>
        </is>
      </c>
      <c r="I1172" s="1" t="n">
        <v>320</v>
      </c>
      <c r="J1172" s="1" t="inlineStr">
        <is>
          <t>РИПОЛ Классик</t>
        </is>
      </c>
      <c r="M1172" s="1" t="inlineStr">
        <is>
          <t>2025</t>
        </is>
      </c>
      <c r="N1172" s="1" t="inlineStr">
        <is>
          <t>П</t>
        </is>
      </c>
      <c r="O1172" s="9" t="n">
        <v>10</v>
      </c>
      <c r="P1172" s="1">
        <f>ROUNDUP(1370*(1-$F$3),2)</f>
        <v/>
      </c>
      <c r="Q1172" s="1" t="inlineStr">
        <is>
          <t> </t>
        </is>
      </c>
      <c r="R1172" s="1" t="inlineStr">
        <is>
          <t>978-5-386-10553-2</t>
        </is>
      </c>
      <c r="S1172" s="1" t="inlineStr">
        <is>
          <t>9785386105532</t>
        </is>
      </c>
      <c r="T1172" s="9" t="n">
        <v>10</v>
      </c>
      <c r="U1172" s="1">
        <f>ROUNDUP(1245.45*(1-$F$3),2)</f>
        <v/>
      </c>
      <c r="V1172" s="1" t="n">
        <v>418</v>
      </c>
      <c r="Y1172" s="1" t="inlineStr">
        <is>
          <t>Большое волшебство</t>
        </is>
      </c>
      <c r="Z1172" s="1" t="inlineStr">
        <is>
          <t>16+</t>
        </is>
      </c>
      <c r="AA1172" s="12" t="n">
        <v>43099</v>
      </c>
      <c r="AB1172" s="1" t="inlineStr">
        <is>
          <t>Гуманитарные науки</t>
        </is>
      </c>
      <c r="AC1172" s="1" t="inlineStr">
        <is>
          <t>Психология</t>
        </is>
      </c>
      <c r="AD1172" s="1" t="inlineStr">
        <is>
          <t>Популярная психология</t>
        </is>
      </c>
      <c r="AE1172" s="1" t="inlineStr">
        <is>
          <t>офсетная</t>
        </is>
      </c>
      <c r="AG1172" s="1" t="n">
        <v>8433250</v>
      </c>
      <c r="AI1172" s="1" t="inlineStr">
        <is>
          <t>4901990000</t>
        </is>
      </c>
    </row>
    <row r="1173" customFormat="1" s="1">
      <c r="C1173" s="1" t="inlineStr">
        <is>
          <t xml:space="preserve">7917800             </t>
        </is>
      </c>
      <c r="D1173" s="1" t="inlineStr">
        <is>
          <t>Элизабет Гилберт</t>
        </is>
      </c>
      <c r="E1173" s="1" t="inlineStr">
        <is>
          <t>Есть, молиться, любить "The New York Times" (пер.). Гилберт Э.</t>
        </is>
      </c>
      <c r="F1173" s="13" t="inlineStr">
        <is>
          <t>См.обл.</t>
        </is>
      </c>
      <c r="G1173" s="1" t="inlineStr">
        <is>
          <t>Гилберт Э.</t>
        </is>
      </c>
      <c r="H1173" s="1" t="inlineStr">
        <is>
          <t>60х90/16</t>
        </is>
      </c>
      <c r="I1173" s="1" t="n">
        <v>496</v>
      </c>
      <c r="J1173" s="1" t="inlineStr">
        <is>
          <t>РИПОЛ Классик</t>
        </is>
      </c>
      <c r="M1173" s="1" t="inlineStr">
        <is>
          <t>2025</t>
        </is>
      </c>
      <c r="N1173" s="1" t="inlineStr">
        <is>
          <t>П</t>
        </is>
      </c>
      <c r="O1173" s="9" t="n">
        <v>6</v>
      </c>
      <c r="P1173" s="1">
        <f>ROUNDUP(1560*(1-$F$3),2)</f>
        <v/>
      </c>
      <c r="Q1173" s="1" t="inlineStr">
        <is>
          <t> </t>
        </is>
      </c>
      <c r="R1173" s="1" t="inlineStr">
        <is>
          <t>978-5-386-09655-7</t>
        </is>
      </c>
      <c r="S1173" s="1" t="inlineStr">
        <is>
          <t>9785386096557</t>
        </is>
      </c>
      <c r="T1173" s="9" t="n">
        <v>10</v>
      </c>
      <c r="U1173" s="1">
        <f>ROUNDUP(1418.18*(1-$F$3),2)</f>
        <v/>
      </c>
      <c r="V1173" s="1" t="n">
        <v>522</v>
      </c>
      <c r="Y1173" s="1" t="inlineStr">
        <is>
          <t>Есть, молиться, любить "The New York Times" (пер.)</t>
        </is>
      </c>
      <c r="Z1173" s="1" t="inlineStr">
        <is>
          <t>16+</t>
        </is>
      </c>
      <c r="AA1173" s="12" t="n">
        <v>42702</v>
      </c>
      <c r="AB1173" s="1" t="inlineStr">
        <is>
          <t>Художественная литература</t>
        </is>
      </c>
      <c r="AC1173" s="1" t="inlineStr">
        <is>
          <t>Зарубежная литература</t>
        </is>
      </c>
      <c r="AD1173" s="1" t="inlineStr">
        <is>
          <t>Литература Америки и Австралии</t>
        </is>
      </c>
      <c r="AE1173" s="1" t="inlineStr">
        <is>
          <t>офсетная</t>
        </is>
      </c>
      <c r="AG1173" s="1" t="n">
        <v>7917800</v>
      </c>
      <c r="AI1173" s="1" t="inlineStr">
        <is>
          <t>4901990000</t>
        </is>
      </c>
      <c r="AJ1173" s="1" t="inlineStr">
        <is>
          <t>Зпв</t>
        </is>
      </c>
    </row>
    <row r="1174" customFormat="1" s="1">
      <c r="C1174" s="1" t="inlineStr">
        <is>
          <t xml:space="preserve">9196400             </t>
        </is>
      </c>
      <c r="D1174" s="1" t="inlineStr">
        <is>
          <t>Юфь</t>
        </is>
      </c>
      <c r="E1174" s="1" t="inlineStr">
        <is>
          <t>Больше, чем я. Уикс С.</t>
        </is>
      </c>
      <c r="F1174" s="13" t="inlineStr">
        <is>
          <t>См.обл.</t>
        </is>
      </c>
      <c r="G1174" s="1" t="inlineStr">
        <is>
          <t>Уикс С.</t>
        </is>
      </c>
      <c r="H1174" s="1" t="inlineStr">
        <is>
          <t>60х90/16</t>
        </is>
      </c>
      <c r="I1174" s="1" t="n">
        <v>144</v>
      </c>
      <c r="J1174" s="1" t="inlineStr">
        <is>
          <t>РИПОЛ Классик</t>
        </is>
      </c>
      <c r="M1174" s="1" t="inlineStr">
        <is>
          <t>2020</t>
        </is>
      </c>
      <c r="N1174" s="1" t="inlineStr">
        <is>
          <t>П</t>
        </is>
      </c>
      <c r="O1174" s="9" t="n">
        <v>18</v>
      </c>
      <c r="P1174" s="1">
        <f>ROUNDUP(750*(1-$F$3),2)</f>
        <v/>
      </c>
      <c r="Q1174" s="1" t="inlineStr">
        <is>
          <t> </t>
        </is>
      </c>
      <c r="R1174" s="1" t="inlineStr">
        <is>
          <t>978-5-386-13490-7</t>
        </is>
      </c>
      <c r="S1174" s="1" t="inlineStr">
        <is>
          <t>9785386134907</t>
        </is>
      </c>
      <c r="T1174" s="9" t="n">
        <v>10</v>
      </c>
      <c r="U1174" s="1">
        <f>ROUNDUP(681.82*(1-$F$3),2)</f>
        <v/>
      </c>
      <c r="V1174" s="1" t="n">
        <v>257</v>
      </c>
      <c r="Y1174" s="1" t="inlineStr">
        <is>
          <t>Больше, чем я</t>
        </is>
      </c>
      <c r="Z1174" s="1" t="inlineStr">
        <is>
          <t>12+</t>
        </is>
      </c>
      <c r="AA1174" s="12" t="n">
        <v>43815</v>
      </c>
      <c r="AB1174" s="1" t="inlineStr">
        <is>
          <t>Художественная литература</t>
        </is>
      </c>
      <c r="AC1174" s="1" t="inlineStr">
        <is>
          <t>Зарубежная литература</t>
        </is>
      </c>
      <c r="AD1174" s="1" t="inlineStr">
        <is>
          <t>Литература Америки и Австралии</t>
        </is>
      </c>
      <c r="AE1174" s="1" t="inlineStr">
        <is>
          <t>офсетная</t>
        </is>
      </c>
      <c r="AG1174" s="1" t="n">
        <v>9196400</v>
      </c>
      <c r="AI1174" s="1" t="inlineStr">
        <is>
          <t>4901990000</t>
        </is>
      </c>
    </row>
    <row r="1175" customFormat="1" s="1">
      <c r="C1175" s="1" t="inlineStr">
        <is>
          <t xml:space="preserve">8626100             </t>
        </is>
      </c>
      <c r="D1175" s="1" t="inlineStr">
        <is>
          <t>Я могу</t>
        </is>
      </c>
      <c r="E1175" s="1" t="inlineStr">
        <is>
          <t>Сильнее. Бауман Д.</t>
        </is>
      </c>
      <c r="F1175" s="13" t="inlineStr">
        <is>
          <t>См.обл.</t>
        </is>
      </c>
      <c r="G1175" s="1" t="inlineStr">
        <is>
          <t>Бауман Д.</t>
        </is>
      </c>
      <c r="H1175" s="1" t="inlineStr">
        <is>
          <t>60х90/16</t>
        </is>
      </c>
      <c r="I1175" s="1" t="n">
        <v>340</v>
      </c>
      <c r="J1175" s="1" t="inlineStr">
        <is>
          <t>РИПОЛ Классик</t>
        </is>
      </c>
      <c r="M1175" s="1" t="inlineStr">
        <is>
          <t>2018</t>
        </is>
      </c>
      <c r="N1175" s="1" t="inlineStr">
        <is>
          <t>П</t>
        </is>
      </c>
      <c r="O1175" s="9" t="n">
        <v>10</v>
      </c>
      <c r="P1175" s="1">
        <f>ROUNDUP(1030.5*(1-$F$3),2)</f>
        <v/>
      </c>
      <c r="Q1175" s="1" t="inlineStr">
        <is>
          <t> </t>
        </is>
      </c>
      <c r="R1175" s="1" t="inlineStr">
        <is>
          <t>978-5-386-10819-9</t>
        </is>
      </c>
      <c r="S1175" s="1" t="inlineStr">
        <is>
          <t>9785386108199</t>
        </is>
      </c>
      <c r="T1175" s="9" t="n">
        <v>10</v>
      </c>
      <c r="U1175" s="1">
        <f>ROUNDUP(936.82*(1-$F$3),2)</f>
        <v/>
      </c>
      <c r="V1175" s="1" t="n">
        <v>444</v>
      </c>
      <c r="Y1175" s="1" t="inlineStr">
        <is>
          <t>Сильнее</t>
        </is>
      </c>
      <c r="Z1175" s="1" t="inlineStr">
        <is>
          <t>16+</t>
        </is>
      </c>
      <c r="AA1175" s="12" t="n">
        <v>43253</v>
      </c>
      <c r="AB1175" s="1" t="inlineStr">
        <is>
          <t>Художественная литература</t>
        </is>
      </c>
      <c r="AC1175" s="1" t="inlineStr">
        <is>
          <t>Зарубежная литература</t>
        </is>
      </c>
      <c r="AD1175" s="1" t="inlineStr">
        <is>
          <t>Литература Америки и Австралии</t>
        </is>
      </c>
      <c r="AE1175" s="1" t="inlineStr">
        <is>
          <t>офсетная</t>
        </is>
      </c>
      <c r="AG1175" s="1" t="n">
        <v>8626100</v>
      </c>
      <c r="AI1175" s="1" t="inlineStr">
        <is>
          <t>4901990000</t>
        </is>
      </c>
      <c r="AJ1175" s="1" t="inlineStr">
        <is>
          <t>Зпв</t>
        </is>
      </c>
    </row>
    <row r="1176" customFormat="1" s="1">
      <c r="C1176" s="1" t="inlineStr">
        <is>
          <t xml:space="preserve">12080520            </t>
        </is>
      </c>
      <c r="D1176" s="1" t="inlineStr">
        <is>
          <t>Я расту</t>
        </is>
      </c>
      <c r="E1176" s="1" t="inlineStr">
        <is>
          <t>Большая перемена: записки наставника. От идеи до миллиона: пошаговый алгоритм победы. Кузьмина О.Н.</t>
        </is>
      </c>
      <c r="F1176" s="13" t="inlineStr">
        <is>
          <t>См.обл.</t>
        </is>
      </c>
      <c r="G1176" s="1" t="inlineStr">
        <is>
          <t>Кузьмина О.Н.</t>
        </is>
      </c>
      <c r="H1176" s="1" t="inlineStr">
        <is>
          <t>60х90/16</t>
        </is>
      </c>
      <c r="I1176" s="1" t="n">
        <v>240</v>
      </c>
      <c r="J1176" s="1" t="inlineStr">
        <is>
          <t>РИПОЛ Классик</t>
        </is>
      </c>
      <c r="M1176" s="1" t="inlineStr">
        <is>
          <t>2026</t>
        </is>
      </c>
      <c r="N1176" s="1" t="inlineStr">
        <is>
          <t>П</t>
        </is>
      </c>
      <c r="O1176" s="9" t="n">
        <v>12</v>
      </c>
      <c r="P1176" s="1">
        <f>ROUNDUP(850*(1-$F$3),2)</f>
        <v/>
      </c>
      <c r="Q1176" s="1" t="inlineStr">
        <is>
          <t> </t>
        </is>
      </c>
      <c r="R1176" s="1" t="inlineStr">
        <is>
          <t>978-5-386-15583-4</t>
        </is>
      </c>
      <c r="S1176" s="1" t="inlineStr">
        <is>
          <t>9785386155834</t>
        </is>
      </c>
      <c r="T1176" s="9" t="n">
        <v>10</v>
      </c>
      <c r="U1176" s="1">
        <f>ROUNDUP(772.73*(1-$F$3),2)</f>
        <v/>
      </c>
      <c r="V1176" s="1" t="n">
        <v>332</v>
      </c>
      <c r="Y1176" s="1" t="inlineStr">
        <is>
          <t>Большая перемена: записки наставника. От идеи до миллиона: пошаговый алгоритм победы</t>
        </is>
      </c>
      <c r="Z1176" s="1" t="inlineStr">
        <is>
          <t>12+</t>
        </is>
      </c>
      <c r="AA1176" s="12" t="n">
        <v>46135</v>
      </c>
      <c r="AB1176" s="1" t="inlineStr">
        <is>
          <t>Общественные науки</t>
        </is>
      </c>
      <c r="AC1176" s="1" t="inlineStr">
        <is>
          <t>Педагогика</t>
        </is>
      </c>
      <c r="AD1176" s="1" t="inlineStr">
        <is>
          <t>Общие вопросы</t>
        </is>
      </c>
      <c r="AE1176" s="1" t="inlineStr">
        <is>
          <t>офсетная</t>
        </is>
      </c>
      <c r="AG1176" s="1" t="n">
        <v>12080520</v>
      </c>
      <c r="AI1176" s="1" t="inlineStr">
        <is>
          <t>4901990000</t>
        </is>
      </c>
    </row>
    <row r="1177" customFormat="1" s="1">
      <c r="C1177" s="1" t="inlineStr">
        <is>
          <t xml:space="preserve">10724680            </t>
        </is>
      </c>
      <c r="D1177" s="1" t="inlineStr">
        <is>
          <t>Ящик Пандоры</t>
        </is>
      </c>
      <c r="E1177" s="1" t="inlineStr">
        <is>
          <t>Мир крови. Муни К.</t>
        </is>
      </c>
      <c r="F1177" s="13" t="inlineStr">
        <is>
          <t>См.обл.</t>
        </is>
      </c>
      <c r="G1177" s="1" t="inlineStr">
        <is>
          <t>Муни К.</t>
        </is>
      </c>
      <c r="H1177" s="1" t="inlineStr">
        <is>
          <t>60х90/16</t>
        </is>
      </c>
      <c r="I1177" s="1" t="n">
        <v>464</v>
      </c>
      <c r="J1177" s="1" t="inlineStr">
        <is>
          <t>РИПОЛ Классик</t>
        </is>
      </c>
      <c r="M1177" s="1" t="inlineStr">
        <is>
          <t>2023</t>
        </is>
      </c>
      <c r="N1177" s="1" t="inlineStr">
        <is>
          <t>П</t>
        </is>
      </c>
      <c r="O1177" s="9" t="n">
        <v>6</v>
      </c>
      <c r="P1177" s="1">
        <f>ROUNDUP(1400*(1-$F$3),2)</f>
        <v/>
      </c>
      <c r="Q1177" s="1" t="inlineStr">
        <is>
          <t> </t>
        </is>
      </c>
      <c r="R1177" s="1" t="inlineStr">
        <is>
          <t>978-5-386-14914-7</t>
        </is>
      </c>
      <c r="S1177" s="1" t="inlineStr">
        <is>
          <t>9785386149147</t>
        </is>
      </c>
      <c r="T1177" s="9" t="n">
        <v>22</v>
      </c>
      <c r="U1177" s="1">
        <f>ROUNDUP(1147.54*(1-$F$3),2)</f>
        <v/>
      </c>
      <c r="V1177" s="1" t="n">
        <v>655</v>
      </c>
      <c r="Y1177" s="1" t="inlineStr">
        <is>
          <t>Мир крови</t>
        </is>
      </c>
      <c r="Z1177" s="1" t="inlineStr">
        <is>
          <t>18+</t>
        </is>
      </c>
      <c r="AA1177" s="12" t="n">
        <v>44896</v>
      </c>
      <c r="AB1177" s="1" t="inlineStr">
        <is>
          <t>Художественная литература</t>
        </is>
      </c>
      <c r="AC1177" s="1" t="inlineStr">
        <is>
          <t>Фантастика. Мистика. Ужасы</t>
        </is>
      </c>
      <c r="AD1177" s="1" t="inlineStr">
        <is>
          <t>Зарубежная фантастика</t>
        </is>
      </c>
      <c r="AE1177" s="1" t="inlineStr">
        <is>
          <t>офсетная</t>
        </is>
      </c>
      <c r="AG1177" s="1" t="n">
        <v>10724680</v>
      </c>
      <c r="AI1177" s="1" t="inlineStr">
        <is>
          <t>4901990000</t>
        </is>
      </c>
      <c r="AJ1177" s="1" t="inlineStr">
        <is>
          <t>Зпв</t>
        </is>
      </c>
    </row>
    <row r="1178" ht="18" customFormat="1" customHeight="1" s="16">
      <c r="B1178" s="16" t="inlineStr">
        <is>
          <t>Жанр: Книги издательства "Пальмира"</t>
        </is>
      </c>
      <c r="F1178" s="17" t="n"/>
      <c r="O1178" s="25" t="n"/>
      <c r="T1178" s="25" t="n"/>
      <c r="AA1178" s="18" t="n"/>
    </row>
    <row r="1179" customFormat="1" s="1">
      <c r="C1179" s="1" t="inlineStr">
        <is>
          <t>8426660</t>
        </is>
      </c>
      <c r="D1179" s="1" t="inlineStr">
        <is>
          <t>Золотое сечение</t>
        </is>
      </c>
      <c r="E1179" s="1" t="inlineStr">
        <is>
          <t>Малые сочинения. Винкельман И.И.</t>
        </is>
      </c>
      <c r="F1179" s="13" t="inlineStr">
        <is>
          <t>См.обл.</t>
        </is>
      </c>
      <c r="G1179" s="1" t="inlineStr">
        <is>
          <t>Винкельман И.И.</t>
        </is>
      </c>
      <c r="H1179" s="1" t="inlineStr">
        <is>
          <t>80х100/32</t>
        </is>
      </c>
      <c r="I1179" s="1" t="n">
        <v>383</v>
      </c>
      <c r="J1179" s="1" t="inlineStr">
        <is>
          <t>Пальмира</t>
        </is>
      </c>
      <c r="K1179" s="1" t="inlineStr">
        <is>
          <t>Книга по требованию</t>
        </is>
      </c>
      <c r="M1179" s="1" t="inlineStr">
        <is>
          <t>2018</t>
        </is>
      </c>
      <c r="N1179" s="1" t="inlineStr">
        <is>
          <t>О</t>
        </is>
      </c>
      <c r="O1179" s="9" t="n">
        <v>10</v>
      </c>
      <c r="P1179" s="1">
        <f>ROUNDUP(860*(1-$F$3),2)</f>
        <v/>
      </c>
      <c r="Q1179" s="1" t="inlineStr">
        <is>
          <t> </t>
        </is>
      </c>
      <c r="R1179" s="1" t="inlineStr">
        <is>
          <t>978-5-521-00797-4</t>
        </is>
      </c>
      <c r="S1179" s="1" t="inlineStr">
        <is>
          <t>9785521007974</t>
        </is>
      </c>
      <c r="T1179" s="9" t="n">
        <v>10</v>
      </c>
      <c r="U1179" s="1">
        <f>ROUNDUP(781.82*(1-$F$3),2)</f>
        <v/>
      </c>
      <c r="V1179" s="1" t="n">
        <v>287</v>
      </c>
      <c r="Y1179" s="1" t="inlineStr">
        <is>
          <t>Малые сочинения</t>
        </is>
      </c>
      <c r="Z1179" s="1" t="inlineStr">
        <is>
          <t>12+</t>
        </is>
      </c>
      <c r="AA1179" s="12" t="n">
        <v>43073</v>
      </c>
      <c r="AB1179" s="1" t="inlineStr">
        <is>
          <t>Искусство</t>
        </is>
      </c>
      <c r="AC1179" s="1" t="inlineStr">
        <is>
          <t>Искусствоведение. История искусства</t>
        </is>
      </c>
      <c r="AD1179" s="1" t="inlineStr">
        <is>
          <t>Искусствоведение. История искусства</t>
        </is>
      </c>
      <c r="AE1179" s="1" t="inlineStr">
        <is>
          <t>офсетная</t>
        </is>
      </c>
      <c r="AG1179" s="1" t="n">
        <v>8426660</v>
      </c>
      <c r="AI1179" s="1" t="inlineStr">
        <is>
          <t>4901990000</t>
        </is>
      </c>
    </row>
    <row r="1180" customFormat="1" s="1">
      <c r="C1180" s="1" t="inlineStr">
        <is>
          <t>7691350</t>
        </is>
      </c>
      <c r="D1180" s="1" t="inlineStr">
        <is>
          <t>Политическая история</t>
        </is>
      </c>
      <c r="E1180" s="1" t="inlineStr">
        <is>
          <t>Ночь в Дамаске: роман. Млечин Л.М.</t>
        </is>
      </c>
      <c r="F1180" s="13" t="inlineStr">
        <is>
          <t>См.обл.</t>
        </is>
      </c>
      <c r="G1180" s="1" t="inlineStr">
        <is>
          <t>Млечин Л.М.</t>
        </is>
      </c>
      <c r="H1180" s="1" t="inlineStr">
        <is>
          <t>84х108/32</t>
        </is>
      </c>
      <c r="I1180" s="1" t="n">
        <v>319</v>
      </c>
      <c r="J1180" s="1" t="inlineStr">
        <is>
          <t>Пальмира</t>
        </is>
      </c>
      <c r="K1180" s="1" t="inlineStr">
        <is>
          <t>БММ</t>
        </is>
      </c>
      <c r="M1180" s="1" t="inlineStr">
        <is>
          <t>2016</t>
        </is>
      </c>
      <c r="N1180" s="1" t="inlineStr">
        <is>
          <t>П</t>
        </is>
      </c>
      <c r="O1180" s="9" t="n">
        <v>14</v>
      </c>
      <c r="P1180" s="1">
        <f>ROUNDUP(858.1*(1-$F$3),2)</f>
        <v/>
      </c>
      <c r="Q1180" s="1" t="inlineStr">
        <is>
          <t> </t>
        </is>
      </c>
      <c r="R1180" s="1" t="inlineStr">
        <is>
          <t>978-5-88353-689-1</t>
        </is>
      </c>
      <c r="S1180" s="1" t="inlineStr">
        <is>
          <t>9785883536891</t>
        </is>
      </c>
      <c r="T1180" s="9" t="n">
        <v>10</v>
      </c>
      <c r="U1180" s="1">
        <f>ROUNDUP(780.09*(1-$F$3),2)</f>
        <v/>
      </c>
      <c r="V1180" s="1" t="n">
        <v>372</v>
      </c>
      <c r="Y1180" s="1" t="inlineStr">
        <is>
          <t>Ночь в Дамаске: роман</t>
        </is>
      </c>
      <c r="Z1180" s="1" t="inlineStr">
        <is>
          <t>16+</t>
        </is>
      </c>
      <c r="AA1180" s="12" t="n">
        <v>42597</v>
      </c>
      <c r="AB1180" s="1" t="inlineStr">
        <is>
          <t>Художественная литература</t>
        </is>
      </c>
      <c r="AC1180" s="1" t="inlineStr">
        <is>
          <t>Русская литература</t>
        </is>
      </c>
      <c r="AD1180" s="1" t="inlineStr">
        <is>
          <t>Современная литература</t>
        </is>
      </c>
      <c r="AE1180" s="1" t="inlineStr">
        <is>
          <t> </t>
        </is>
      </c>
      <c r="AG1180" s="1" t="n">
        <v>7691350</v>
      </c>
      <c r="AI1180" s="1" t="inlineStr">
        <is>
          <t>4901990000</t>
        </is>
      </c>
    </row>
    <row r="1181" customFormat="1" s="1">
      <c r="C1181" s="1" t="inlineStr">
        <is>
          <t xml:space="preserve">8471260             </t>
        </is>
      </c>
      <c r="D1181" s="1" t="inlineStr">
        <is>
          <t>Популярная экономика</t>
        </is>
      </c>
      <c r="E1181" s="1" t="inlineStr">
        <is>
          <t>Черный лебедь мирового кризиса. Хазин М.Л.</t>
        </is>
      </c>
      <c r="F1181" s="13" t="inlineStr">
        <is>
          <t>См.обл.</t>
        </is>
      </c>
      <c r="G1181" s="1" t="inlineStr">
        <is>
          <t>Хазин М.Л.</t>
        </is>
      </c>
      <c r="H1181" s="1" t="inlineStr">
        <is>
          <t>60х90/16</t>
        </is>
      </c>
      <c r="I1181" s="1" t="n">
        <v>416</v>
      </c>
      <c r="J1181" s="1" t="inlineStr">
        <is>
          <t>Пальмира</t>
        </is>
      </c>
      <c r="M1181" s="1" t="inlineStr">
        <is>
          <t>2022</t>
        </is>
      </c>
      <c r="N1181" s="1" t="inlineStr">
        <is>
          <t>П</t>
        </is>
      </c>
      <c r="O1181" s="9" t="n">
        <v>8</v>
      </c>
      <c r="P1181" s="1">
        <f>ROUNDUP(1340*(1-$F$3),2)</f>
        <v/>
      </c>
      <c r="Q1181" s="1" t="inlineStr">
        <is>
          <t> </t>
        </is>
      </c>
      <c r="R1181" s="1" t="inlineStr">
        <is>
          <t>978-5-521-00946-6</t>
        </is>
      </c>
      <c r="S1181" s="1" t="inlineStr">
        <is>
          <t>9785521009466</t>
        </is>
      </c>
      <c r="T1181" s="9" t="n">
        <v>10</v>
      </c>
      <c r="U1181" s="1">
        <f>ROUNDUP(1218.18*(1-$F$3),2)</f>
        <v/>
      </c>
      <c r="V1181" s="1" t="n">
        <v>504</v>
      </c>
      <c r="Y1181" s="1" t="inlineStr">
        <is>
          <t>Черный лебедь мирового кризиса</t>
        </is>
      </c>
      <c r="Z1181" s="1" t="inlineStr">
        <is>
          <t>12+</t>
        </is>
      </c>
      <c r="AA1181" s="12" t="n">
        <v>43124</v>
      </c>
      <c r="AB1181" s="1" t="inlineStr">
        <is>
          <t>Экономика. Экономические науки</t>
        </is>
      </c>
      <c r="AC1181" s="1" t="inlineStr">
        <is>
          <t>Экономика</t>
        </is>
      </c>
      <c r="AD1181" s="1" t="inlineStr">
        <is>
          <t>Мировая экономика. Международные экономические отношения</t>
        </is>
      </c>
      <c r="AE1181" s="1" t="inlineStr">
        <is>
          <t>офсетная</t>
        </is>
      </c>
      <c r="AG1181" s="1" t="n">
        <v>8471260</v>
      </c>
      <c r="AI1181" s="1" t="inlineStr">
        <is>
          <t>4901990000</t>
        </is>
      </c>
    </row>
    <row r="1182" customFormat="1" s="1">
      <c r="C1182" s="1" t="inlineStr">
        <is>
          <t>8111480</t>
        </is>
      </c>
      <c r="D1182" s="1" t="inlineStr">
        <is>
          <t>Собрание сочинений</t>
        </is>
      </c>
      <c r="E1182" s="1" t="inlineStr">
        <is>
          <t>Собрание сочинений. В 8 т. Т. 3: Человек-амфибия. Подводные земледельцы. Беляев А.Р.</t>
        </is>
      </c>
      <c r="F1182" s="13" t="inlineStr">
        <is>
          <t>См.обл.</t>
        </is>
      </c>
      <c r="G1182" s="1" t="inlineStr">
        <is>
          <t>Беляев А.Р.</t>
        </is>
      </c>
      <c r="H1182" s="1" t="inlineStr">
        <is>
          <t>84х108/32</t>
        </is>
      </c>
      <c r="I1182" s="1" t="n">
        <v>400</v>
      </c>
      <c r="J1182" s="1" t="inlineStr">
        <is>
          <t>Пальмира</t>
        </is>
      </c>
      <c r="K1182" s="1" t="inlineStr">
        <is>
          <t>Книга по требованию</t>
        </is>
      </c>
      <c r="M1182" s="1" t="inlineStr">
        <is>
          <t>2018</t>
        </is>
      </c>
      <c r="N1182" s="1" t="inlineStr">
        <is>
          <t>П</t>
        </is>
      </c>
      <c r="O1182" s="9" t="n">
        <v>10</v>
      </c>
      <c r="P1182" s="1">
        <f>ROUNDUP(1260*(1-$F$3),2)</f>
        <v/>
      </c>
      <c r="Q1182" s="1" t="inlineStr">
        <is>
          <t> </t>
        </is>
      </c>
      <c r="R1182" s="1" t="inlineStr">
        <is>
          <t>978-5-521-00389-1</t>
        </is>
      </c>
      <c r="S1182" s="1" t="inlineStr">
        <is>
          <t>9785521003891</t>
        </is>
      </c>
      <c r="T1182" s="9" t="n">
        <v>10</v>
      </c>
      <c r="U1182" s="1">
        <f>ROUNDUP(1145.45*(1-$F$3),2)</f>
        <v/>
      </c>
      <c r="V1182" s="1" t="n">
        <v>446</v>
      </c>
      <c r="Y1182" s="1" t="inlineStr">
        <is>
          <t>Собрание сочинений. В 8 т. Т. 3: Человек-амфибия. Подводные земледельцы</t>
        </is>
      </c>
      <c r="Z1182" s="1" t="inlineStr">
        <is>
          <t>12+</t>
        </is>
      </c>
      <c r="AA1182" s="12" t="n">
        <v>42829</v>
      </c>
      <c r="AB1182" s="1" t="inlineStr">
        <is>
          <t>Художественная литература</t>
        </is>
      </c>
      <c r="AC1182" s="1" t="inlineStr">
        <is>
          <t>Фантастика. Мистика. Ужасы</t>
        </is>
      </c>
      <c r="AD1182" s="1" t="inlineStr">
        <is>
          <t>Русская фантастика</t>
        </is>
      </c>
      <c r="AE1182" s="1" t="inlineStr">
        <is>
          <t>офсетная</t>
        </is>
      </c>
      <c r="AG1182" s="1" t="n">
        <v>8111480</v>
      </c>
      <c r="AI1182" s="1" t="inlineStr">
        <is>
          <t>4901990000</t>
        </is>
      </c>
    </row>
    <row r="1183" customFormat="1" s="1">
      <c r="C1183" s="1" t="inlineStr">
        <is>
          <t>8111470</t>
        </is>
      </c>
      <c r="D1183" s="1" t="inlineStr">
        <is>
          <t>Собрание сочинений</t>
        </is>
      </c>
      <c r="E1183" s="1" t="inlineStr">
        <is>
          <t>Собрание сочинений. В 8 т. Т. 7: Человек, нашедший свое лицо; Ариэль. Беляев А.Р.</t>
        </is>
      </c>
      <c r="F1183" s="13" t="inlineStr">
        <is>
          <t>См.обл.</t>
        </is>
      </c>
      <c r="G1183" s="1" t="inlineStr">
        <is>
          <t>Беляев А.Р.</t>
        </is>
      </c>
      <c r="H1183" s="1" t="inlineStr">
        <is>
          <t>84х108/32</t>
        </is>
      </c>
      <c r="I1183" s="1" t="n">
        <v>448</v>
      </c>
      <c r="J1183" s="1" t="inlineStr">
        <is>
          <t>Пальмира</t>
        </is>
      </c>
      <c r="K1183" s="1" t="inlineStr">
        <is>
          <t>Книга по требованию</t>
        </is>
      </c>
      <c r="M1183" s="1" t="inlineStr">
        <is>
          <t>2018</t>
        </is>
      </c>
      <c r="N1183" s="1" t="inlineStr">
        <is>
          <t>П</t>
        </is>
      </c>
      <c r="O1183" s="9" t="n">
        <v>10</v>
      </c>
      <c r="P1183" s="1">
        <f>ROUNDUP(1178*(1-$F$3),2)</f>
        <v/>
      </c>
      <c r="Q1183" s="1" t="inlineStr">
        <is>
          <t> </t>
        </is>
      </c>
      <c r="R1183" s="1" t="inlineStr">
        <is>
          <t>978-5-521-00393-8</t>
        </is>
      </c>
      <c r="S1183" s="1" t="inlineStr">
        <is>
          <t>9785521003938</t>
        </is>
      </c>
      <c r="T1183" s="9" t="n">
        <v>10</v>
      </c>
      <c r="U1183" s="1">
        <f>ROUNDUP(1070.91*(1-$F$3),2)</f>
        <v/>
      </c>
      <c r="V1183" s="1" t="n">
        <v>493</v>
      </c>
      <c r="Y1183" s="1" t="inlineStr">
        <is>
          <t>Собрание сочинений. В 8 т. Т. 7: Человек, нашедший свое лицо; Ариэль</t>
        </is>
      </c>
      <c r="Z1183" s="1" t="inlineStr">
        <is>
          <t>12+</t>
        </is>
      </c>
      <c r="AA1183" s="12" t="n">
        <v>42829</v>
      </c>
      <c r="AB1183" s="1" t="inlineStr">
        <is>
          <t>Художественная литература</t>
        </is>
      </c>
      <c r="AC1183" s="1" t="inlineStr">
        <is>
          <t>Фантастика. Мистика. Ужасы</t>
        </is>
      </c>
      <c r="AD1183" s="1" t="inlineStr">
        <is>
          <t>Русская фантастика</t>
        </is>
      </c>
      <c r="AE1183" s="1" t="inlineStr">
        <is>
          <t>офсетная</t>
        </is>
      </c>
      <c r="AG1183" s="1" t="n">
        <v>8111470</v>
      </c>
      <c r="AI1183" s="1" t="inlineStr">
        <is>
          <t>4901990000</t>
        </is>
      </c>
    </row>
    <row r="1184" ht="18" customFormat="1" customHeight="1" s="16">
      <c r="B1184" s="16" t="inlineStr">
        <is>
          <t>Жанр: Духовная литература</t>
        </is>
      </c>
      <c r="F1184" s="17" t="n"/>
      <c r="O1184" s="25" t="n"/>
      <c r="T1184" s="25" t="n"/>
      <c r="AA1184" s="18" t="n"/>
    </row>
    <row r="1185" customFormat="1" s="1">
      <c r="C1185" s="1" t="inlineStr">
        <is>
          <t xml:space="preserve">8206110             </t>
        </is>
      </c>
      <c r="D1185" s="1" t="inlineStr">
        <is>
          <t>Собрание сочинений</t>
        </is>
      </c>
      <c r="E1185" s="1" t="inlineStr">
        <is>
          <t>Единственная радость: стихотворения. Роман (Матюшин-Правдин), иеромонах</t>
        </is>
      </c>
      <c r="F1185" s="13" t="inlineStr">
        <is>
          <t>См.обл.</t>
        </is>
      </c>
      <c r="G1185" s="1" t="inlineStr">
        <is>
          <t>Роман (Матюшин-Правдин), иеромонах</t>
        </is>
      </c>
      <c r="H1185" s="1" t="inlineStr">
        <is>
          <t>60х90/16</t>
        </is>
      </c>
      <c r="I1185" s="1" t="n">
        <v>208</v>
      </c>
      <c r="J1185" s="1" t="inlineStr">
        <is>
          <t>Пальмира</t>
        </is>
      </c>
      <c r="K1185" s="1" t="inlineStr">
        <is>
          <t>Книга по требованию</t>
        </is>
      </c>
      <c r="M1185" s="1" t="inlineStr">
        <is>
          <t>2018</t>
        </is>
      </c>
      <c r="N1185" s="1" t="inlineStr">
        <is>
          <t>П</t>
        </is>
      </c>
      <c r="O1185" s="9" t="n">
        <v>18</v>
      </c>
      <c r="P1185" s="1">
        <f>ROUNDUP(1333.7*(1-$F$3),2)</f>
        <v/>
      </c>
      <c r="Q1185" s="1" t="inlineStr">
        <is>
          <t> </t>
        </is>
      </c>
      <c r="R1185" s="1" t="inlineStr">
        <is>
          <t>978-5-521-00659-5</t>
        </is>
      </c>
      <c r="S1185" s="1" t="inlineStr">
        <is>
          <t>9785521006595</t>
        </is>
      </c>
      <c r="T1185" s="9" t="n">
        <v>10</v>
      </c>
      <c r="U1185" s="1">
        <f>ROUNDUP(1212.45*(1-$F$3),2)</f>
        <v/>
      </c>
      <c r="V1185" s="1" t="n">
        <v>331</v>
      </c>
      <c r="Y1185" s="1" t="inlineStr">
        <is>
          <t>Единственная радость: стихотворения</t>
        </is>
      </c>
      <c r="Z1185" s="1" t="inlineStr">
        <is>
          <t>0 +</t>
        </is>
      </c>
      <c r="AA1185" s="12" t="n">
        <v>42920</v>
      </c>
      <c r="AB1185" s="1" t="inlineStr">
        <is>
          <t>Духовная литература</t>
        </is>
      </c>
      <c r="AC1185" s="1" t="inlineStr">
        <is>
          <t>Православие</t>
        </is>
      </c>
      <c r="AE1185" s="1" t="inlineStr">
        <is>
          <t>офсетная</t>
        </is>
      </c>
      <c r="AG1185" s="1" t="n">
        <v>8206110</v>
      </c>
      <c r="AI1185" s="1" t="inlineStr">
        <is>
          <t>4901990000</t>
        </is>
      </c>
    </row>
    <row r="1186" customFormat="1" s="11">
      <c r="A1186" s="11" t="inlineStr">
        <is>
          <t>нов</t>
        </is>
      </c>
      <c r="C1186" s="11" t="inlineStr">
        <is>
          <t xml:space="preserve">12280940            </t>
        </is>
      </c>
      <c r="E1186" s="11" t="inlineStr">
        <is>
          <t xml:space="preserve">Коран (красный). Перевод смыслов и комментарии Валерии Пороховой. 19-е изд. </t>
        </is>
      </c>
      <c r="F1186" s="14" t="inlineStr">
        <is>
          <t>См.обл.</t>
        </is>
      </c>
      <c r="H1186" s="11" t="inlineStr">
        <is>
          <t>60х90/16</t>
        </is>
      </c>
      <c r="I1186" s="11" t="n">
        <v>800</v>
      </c>
      <c r="J1186" s="11" t="inlineStr">
        <is>
          <t>РИПОЛ Классик</t>
        </is>
      </c>
      <c r="M1186" s="11" t="inlineStr">
        <is>
          <t>2026</t>
        </is>
      </c>
      <c r="N1186" s="11" t="inlineStr">
        <is>
          <t>П</t>
        </is>
      </c>
      <c r="O1186" s="26" t="n">
        <v>4</v>
      </c>
      <c r="P1186" s="11">
        <f>ROUNDUP(2300*(1-$F$3),2)</f>
        <v/>
      </c>
      <c r="Q1186" s="11" t="inlineStr">
        <is>
          <t> </t>
        </is>
      </c>
      <c r="R1186" s="11" t="inlineStr">
        <is>
          <t>978-5-386-15756-2</t>
        </is>
      </c>
      <c r="S1186" s="11" t="inlineStr">
        <is>
          <t>9785386157562</t>
        </is>
      </c>
      <c r="T1186" s="26" t="n">
        <v>10</v>
      </c>
      <c r="U1186" s="11">
        <f>ROUNDUP(2090.91*(1-$F$3),2)</f>
        <v/>
      </c>
      <c r="V1186" s="11" t="n">
        <v>1033</v>
      </c>
      <c r="Y1186" s="11" t="inlineStr">
        <is>
          <t>Коран (красный). Перевод смыслов и комментарии Валерии Пороховой. 19-е изд</t>
        </is>
      </c>
      <c r="Z1186" s="11" t="inlineStr">
        <is>
          <t>12+</t>
        </is>
      </c>
      <c r="AA1186" s="15" t="n">
        <v>46293</v>
      </c>
      <c r="AB1186" s="11" t="inlineStr">
        <is>
          <t>Духовная литература</t>
        </is>
      </c>
      <c r="AC1186" s="11" t="inlineStr">
        <is>
          <t>Ислам (мусульманство)</t>
        </is>
      </c>
      <c r="AE1186" s="11" t="inlineStr">
        <is>
          <t>офсетная</t>
        </is>
      </c>
      <c r="AG1186" s="11" t="n">
        <v>12280940</v>
      </c>
      <c r="AI1186" s="11" t="inlineStr">
        <is>
          <t>4901990000</t>
        </is>
      </c>
    </row>
    <row r="1187" customFormat="1" s="1">
      <c r="C1187" s="1" t="inlineStr">
        <is>
          <t xml:space="preserve">9455040             </t>
        </is>
      </c>
      <c r="D1187" s="1" t="inlineStr">
        <is>
          <t>Black Books</t>
        </is>
      </c>
      <c r="E1187" s="1" t="inlineStr">
        <is>
          <t>Новая земля. Пробуждение к своей жизненной цели. Толле Э.</t>
        </is>
      </c>
      <c r="F1187" s="13" t="inlineStr">
        <is>
          <t>См.обл.</t>
        </is>
      </c>
      <c r="G1187" s="1" t="inlineStr">
        <is>
          <t>Толле Э.</t>
        </is>
      </c>
      <c r="H1187" s="1" t="inlineStr">
        <is>
          <t>84х108/32</t>
        </is>
      </c>
      <c r="I1187" s="1" t="n">
        <v>274</v>
      </c>
      <c r="J1187" s="1" t="inlineStr">
        <is>
          <t>РИПОЛ Классик</t>
        </is>
      </c>
      <c r="M1187" s="1" t="inlineStr">
        <is>
          <t>2026</t>
        </is>
      </c>
      <c r="N1187" s="1" t="inlineStr">
        <is>
          <t>П</t>
        </is>
      </c>
      <c r="O1187" s="9" t="n">
        <v>10</v>
      </c>
      <c r="P1187" s="1">
        <f>ROUNDUP(979*(1-$F$3),2)</f>
        <v/>
      </c>
      <c r="Q1187" s="1" t="inlineStr">
        <is>
          <t> </t>
        </is>
      </c>
      <c r="R1187" s="1" t="inlineStr">
        <is>
          <t>978-5-386-13724-3</t>
        </is>
      </c>
      <c r="S1187" s="1" t="inlineStr">
        <is>
          <t>9785386137243</t>
        </is>
      </c>
      <c r="T1187" s="9" t="n">
        <v>22</v>
      </c>
      <c r="U1187" s="1">
        <f>ROUNDUP(802.46*(1-$F$3),2)</f>
        <v/>
      </c>
      <c r="V1187" s="1" t="n">
        <v>332</v>
      </c>
      <c r="Y1187" s="1" t="inlineStr">
        <is>
          <t>Новая земля. Пробуждение к своей жизненной цели</t>
        </is>
      </c>
      <c r="Z1187" s="1" t="inlineStr">
        <is>
          <t>12+</t>
        </is>
      </c>
      <c r="AA1187" s="12" t="n">
        <v>44039</v>
      </c>
      <c r="AB1187" s="1" t="inlineStr">
        <is>
          <t>Духовная литература</t>
        </is>
      </c>
      <c r="AC1187" s="1" t="inlineStr">
        <is>
          <t>Религиоведение. История религий</t>
        </is>
      </c>
      <c r="AE1187" s="1" t="inlineStr">
        <is>
          <t>офсетная</t>
        </is>
      </c>
      <c r="AG1187" s="1" t="n">
        <v>9455040</v>
      </c>
      <c r="AI1187" s="1" t="inlineStr">
        <is>
          <t>4901990000</t>
        </is>
      </c>
    </row>
    <row r="1188" customFormat="1" s="1">
      <c r="C1188" s="1" t="inlineStr">
        <is>
          <t xml:space="preserve">8802070             </t>
        </is>
      </c>
      <c r="D1188" s="1" t="inlineStr">
        <is>
          <t>Книги Е. Торчинова</t>
        </is>
      </c>
      <c r="E1188" s="1" t="inlineStr">
        <is>
          <t>Путь Будды. Словарь. Торчинов Е.А.</t>
        </is>
      </c>
      <c r="F1188" s="13" t="inlineStr">
        <is>
          <t>См.обл.</t>
        </is>
      </c>
      <c r="G1188" s="1" t="inlineStr">
        <is>
          <t>Торчинов Е.А.</t>
        </is>
      </c>
      <c r="H1188" s="1" t="inlineStr">
        <is>
          <t>84х108/32</t>
        </is>
      </c>
      <c r="I1188" s="1" t="n">
        <v>296</v>
      </c>
      <c r="J1188" s="1" t="inlineStr">
        <is>
          <t>РИПОЛ Классик</t>
        </is>
      </c>
      <c r="K1188" s="1" t="inlineStr">
        <is>
          <t>Пальмира</t>
        </is>
      </c>
      <c r="M1188" s="1" t="inlineStr">
        <is>
          <t>2020</t>
        </is>
      </c>
      <c r="N1188" s="1" t="inlineStr">
        <is>
          <t>П</t>
        </is>
      </c>
      <c r="O1188" s="9" t="n">
        <v>10</v>
      </c>
      <c r="P1188" s="1">
        <f>ROUNDUP(1001*(1-$F$3),2)</f>
        <v/>
      </c>
      <c r="Q1188" s="1" t="inlineStr">
        <is>
          <t> </t>
        </is>
      </c>
      <c r="R1188" s="1" t="inlineStr">
        <is>
          <t>978-5-386-12257-7</t>
        </is>
      </c>
      <c r="S1188" s="1" t="inlineStr">
        <is>
          <t>9785386122577</t>
        </is>
      </c>
      <c r="T1188" s="9" t="n">
        <v>10</v>
      </c>
      <c r="U1188" s="1">
        <f>ROUNDUP(910*(1-$F$3),2)</f>
        <v/>
      </c>
      <c r="V1188" s="1" t="n">
        <v>349</v>
      </c>
      <c r="Y1188" s="1" t="inlineStr">
        <is>
          <t>Путь Будды. Словарь</t>
        </is>
      </c>
      <c r="Z1188" s="1" t="inlineStr">
        <is>
          <t>12+</t>
        </is>
      </c>
      <c r="AA1188" s="12" t="n">
        <v>43377</v>
      </c>
      <c r="AB1188" s="1" t="inlineStr">
        <is>
          <t>Духовная литература</t>
        </is>
      </c>
      <c r="AC1188" s="1" t="inlineStr">
        <is>
          <t>Другие религии и культы</t>
        </is>
      </c>
      <c r="AE1188" s="1" t="inlineStr">
        <is>
          <t>офсетная</t>
        </is>
      </c>
      <c r="AG1188" s="1" t="n">
        <v>8802070</v>
      </c>
      <c r="AI1188" s="1" t="inlineStr">
        <is>
          <t>4901910000</t>
        </is>
      </c>
    </row>
    <row r="1189" customFormat="1" s="1">
      <c r="C1189" s="1" t="inlineStr">
        <is>
          <t xml:space="preserve">7548470             </t>
        </is>
      </c>
      <c r="D1189" s="1" t="inlineStr">
        <is>
          <t>Коран в переводе Пороховой В.</t>
        </is>
      </c>
      <c r="E1189" s="1" t="inlineStr">
        <is>
          <t>Коран (зеленый). Перевод смыслов и комментарии Иман Валерии Пороховой. 19-е изд. Гл. ред. Мухаммад Саид Аль-Рошд</t>
        </is>
      </c>
      <c r="F1189" s="13" t="inlineStr">
        <is>
          <t>См.обл.</t>
        </is>
      </c>
      <c r="G1189" s="1" t="inlineStr">
        <is>
          <t>Гл. ред. Мухаммад Саид Аль-Рошд</t>
        </is>
      </c>
      <c r="H1189" s="1" t="inlineStr">
        <is>
          <t>60х90/16</t>
        </is>
      </c>
      <c r="I1189" s="1" t="n">
        <v>800</v>
      </c>
      <c r="J1189" s="1" t="inlineStr">
        <is>
          <t>РИПОЛ Классик</t>
        </is>
      </c>
      <c r="M1189" s="1" t="inlineStr">
        <is>
          <t>2025</t>
        </is>
      </c>
      <c r="N1189" s="1" t="inlineStr">
        <is>
          <t>П</t>
        </is>
      </c>
      <c r="O1189" s="9" t="n">
        <v>4</v>
      </c>
      <c r="P1189" s="1">
        <f>ROUNDUP(3140*(1-$F$3),2)</f>
        <v/>
      </c>
      <c r="Q1189" s="1" t="inlineStr">
        <is>
          <t> </t>
        </is>
      </c>
      <c r="R1189" s="1" t="inlineStr">
        <is>
          <t>978-5-386-09244-3</t>
        </is>
      </c>
      <c r="S1189" s="1" t="inlineStr">
        <is>
          <t>9785386092443</t>
        </is>
      </c>
      <c r="T1189" s="9" t="n">
        <v>10</v>
      </c>
      <c r="U1189" s="1">
        <f>ROUNDUP(2854.55*(1-$F$3),2)</f>
        <v/>
      </c>
      <c r="V1189" s="1" t="n">
        <v>912</v>
      </c>
      <c r="Y1189" s="1" t="inlineStr">
        <is>
          <t>Коран (зеленый). Перевод смыслов и комментарии Иман Валерии Пороховой. 19-е изд</t>
        </is>
      </c>
      <c r="Z1189" s="1" t="inlineStr">
        <is>
          <t>12+</t>
        </is>
      </c>
      <c r="AA1189" s="12" t="n">
        <v>42490</v>
      </c>
      <c r="AB1189" s="1" t="inlineStr">
        <is>
          <t>Духовная литература</t>
        </is>
      </c>
      <c r="AC1189" s="1" t="inlineStr">
        <is>
          <t>Ислам (мусульманство)</t>
        </is>
      </c>
      <c r="AE1189" s="1" t="inlineStr">
        <is>
          <t>офсетная</t>
        </is>
      </c>
      <c r="AG1189" s="1" t="n">
        <v>7548470</v>
      </c>
      <c r="AI1189" s="1" t="inlineStr">
        <is>
          <t>4901990000</t>
        </is>
      </c>
    </row>
    <row r="1190" customFormat="1" s="1">
      <c r="C1190" s="1" t="inlineStr">
        <is>
          <t xml:space="preserve">10739180            </t>
        </is>
      </c>
      <c r="D1190" s="1" t="inlineStr">
        <is>
          <t>Коран в переводе Пороховой В.</t>
        </is>
      </c>
      <c r="E1190" s="1" t="inlineStr">
        <is>
          <t>Кораническая цитата. Тематический справочник с краткими комментариями. Оганесян С.С., Хаади Т.А.</t>
        </is>
      </c>
      <c r="F1190" s="13" t="inlineStr">
        <is>
          <t>См.обл.</t>
        </is>
      </c>
      <c r="G1190" s="1" t="inlineStr">
        <is>
          <t>Оганесян С.С., Хаади Т.А.</t>
        </is>
      </c>
      <c r="H1190" s="1" t="inlineStr">
        <is>
          <t>60х90/16</t>
        </is>
      </c>
      <c r="I1190" s="1" t="n">
        <v>320</v>
      </c>
      <c r="J1190" s="1" t="inlineStr">
        <is>
          <t>РИПОЛ Классик</t>
        </is>
      </c>
      <c r="M1190" s="1" t="inlineStr">
        <is>
          <t>2023</t>
        </is>
      </c>
      <c r="N1190" s="1" t="inlineStr">
        <is>
          <t>П</t>
        </is>
      </c>
      <c r="O1190" s="9" t="n">
        <v>10</v>
      </c>
      <c r="P1190" s="1">
        <f>ROUNDUP(1260*(1-$F$3),2)</f>
        <v/>
      </c>
      <c r="Q1190" s="1" t="inlineStr">
        <is>
          <t> </t>
        </is>
      </c>
      <c r="R1190" s="1" t="inlineStr">
        <is>
          <t>978-5-386-14933-8</t>
        </is>
      </c>
      <c r="S1190" s="1" t="inlineStr">
        <is>
          <t>9785386149338</t>
        </is>
      </c>
      <c r="T1190" s="9" t="n">
        <v>10</v>
      </c>
      <c r="U1190" s="1">
        <f>ROUNDUP(1145.45*(1-$F$3),2)</f>
        <v/>
      </c>
      <c r="V1190" s="1" t="n">
        <v>439</v>
      </c>
      <c r="Y1190" s="1" t="inlineStr">
        <is>
          <t>Кораническая цитата. Тематический справочник с краткими комментариями</t>
        </is>
      </c>
      <c r="Z1190" s="1" t="inlineStr">
        <is>
          <t>12+</t>
        </is>
      </c>
      <c r="AA1190" s="12" t="n">
        <v>44900</v>
      </c>
      <c r="AB1190" s="1" t="inlineStr">
        <is>
          <t>Духовная литература</t>
        </is>
      </c>
      <c r="AC1190" s="1" t="inlineStr">
        <is>
          <t>Ислам (мусульманство)</t>
        </is>
      </c>
      <c r="AE1190" s="1" t="inlineStr">
        <is>
          <t>офсетная</t>
        </is>
      </c>
      <c r="AG1190" s="1" t="n">
        <v>10739180</v>
      </c>
      <c r="AI1190" s="1" t="inlineStr">
        <is>
          <t>4901990000</t>
        </is>
      </c>
    </row>
    <row r="1191" customFormat="1" s="1">
      <c r="C1191" s="1" t="inlineStr">
        <is>
          <t xml:space="preserve">10451600            </t>
        </is>
      </c>
      <c r="D1191" s="1" t="inlineStr">
        <is>
          <t>Коран в переводе Пороховой В. ПОДАРОЧНОЕ ИЗДАНИЕ</t>
        </is>
      </c>
      <c r="E1191" s="1" t="inlineStr">
        <is>
          <t>Хадисы Пророка. Перевод и комментарии Валерии Пороховой. 4-е изд. (зеленая., золот. тиснен.). Гл. ред. Мухаммад Саид Аль-Рошд</t>
        </is>
      </c>
      <c r="F1191" s="13" t="inlineStr">
        <is>
          <t>См.обл.</t>
        </is>
      </c>
      <c r="G1191" s="1" t="inlineStr">
        <is>
          <t>Гл. ред. Мухаммад Саид Аль-Рошд</t>
        </is>
      </c>
      <c r="H1191" s="1" t="inlineStr">
        <is>
          <t>70х100/16</t>
        </is>
      </c>
      <c r="I1191" s="1" t="n">
        <v>312</v>
      </c>
      <c r="J1191" s="1" t="inlineStr">
        <is>
          <t>РИПОЛ Классик</t>
        </is>
      </c>
      <c r="M1191" s="1" t="inlineStr">
        <is>
          <t>2022</t>
        </is>
      </c>
      <c r="N1191" s="1" t="inlineStr">
        <is>
          <t>П</t>
        </is>
      </c>
      <c r="O1191" s="9" t="n">
        <v>6</v>
      </c>
      <c r="P1191" s="1">
        <f>ROUNDUP(2750*(1-$F$3),2)</f>
        <v/>
      </c>
      <c r="Q1191" s="1" t="inlineStr">
        <is>
          <t> </t>
        </is>
      </c>
      <c r="R1191" s="1" t="inlineStr">
        <is>
          <t>978-5-386-14796-9</t>
        </is>
      </c>
      <c r="S1191" s="1" t="inlineStr">
        <is>
          <t>9785386147969</t>
        </is>
      </c>
      <c r="T1191" s="9" t="n">
        <v>10</v>
      </c>
      <c r="U1191" s="1">
        <f>ROUNDUP(2500*(1-$F$3),2)</f>
        <v/>
      </c>
      <c r="V1191" s="1" t="n">
        <v>613</v>
      </c>
      <c r="Y1191" s="1" t="inlineStr">
        <is>
          <t>Хадисы Пророка. Перевод и комментарии Валерии Пороховой. 4-е изд. (зеленая., золот. тиснен.)</t>
        </is>
      </c>
      <c r="Z1191" s="1" t="inlineStr">
        <is>
          <t>12+</t>
        </is>
      </c>
      <c r="AA1191" s="12" t="n">
        <v>44777</v>
      </c>
      <c r="AB1191" s="1" t="inlineStr">
        <is>
          <t>Духовная литература</t>
        </is>
      </c>
      <c r="AC1191" s="1" t="inlineStr">
        <is>
          <t>Ислам (мусульманство)</t>
        </is>
      </c>
      <c r="AE1191" s="1" t="inlineStr">
        <is>
          <t>офсетная</t>
        </is>
      </c>
      <c r="AG1191" s="1" t="n">
        <v>10451600</v>
      </c>
      <c r="AI1191" s="1" t="inlineStr">
        <is>
          <t>4901990000</t>
        </is>
      </c>
    </row>
    <row r="1192" customFormat="1" s="1">
      <c r="C1192" s="1" t="inlineStr">
        <is>
          <t xml:space="preserve">7290630             </t>
        </is>
      </c>
      <c r="D1192" s="1" t="inlineStr">
        <is>
          <t>Старинный альбом</t>
        </is>
      </c>
      <c r="E1192" s="1" t="inlineStr">
        <is>
          <t xml:space="preserve">Рождественское чудо. Старинный альбом: альбом открыток. </t>
        </is>
      </c>
      <c r="F1192" s="13" t="inlineStr">
        <is>
          <t>См.обл.</t>
        </is>
      </c>
      <c r="H1192" s="1" t="inlineStr">
        <is>
          <t>70х92/16</t>
        </is>
      </c>
      <c r="I1192" s="1" t="n">
        <v>240</v>
      </c>
      <c r="J1192" s="1" t="inlineStr">
        <is>
          <t>РИПОЛ Классик</t>
        </is>
      </c>
      <c r="M1192" s="1" t="inlineStr">
        <is>
          <t>2017</t>
        </is>
      </c>
      <c r="N1192" s="1" t="inlineStr">
        <is>
          <t>П</t>
        </is>
      </c>
      <c r="O1192" s="9" t="n">
        <v>6</v>
      </c>
      <c r="P1192" s="1">
        <f>ROUNDUP(2423.5*(1-$F$3),2)</f>
        <v/>
      </c>
      <c r="Q1192" s="1" t="inlineStr">
        <is>
          <t> </t>
        </is>
      </c>
      <c r="R1192" s="1" t="inlineStr">
        <is>
          <t>978-5-386-08852-1</t>
        </is>
      </c>
      <c r="S1192" s="1" t="inlineStr">
        <is>
          <t>9785386088521</t>
        </is>
      </c>
      <c r="T1192" s="9" t="n">
        <v>10</v>
      </c>
      <c r="U1192" s="1">
        <f>ROUNDUP(2203.18*(1-$F$3),2)</f>
        <v/>
      </c>
      <c r="V1192" s="1" t="n">
        <v>833</v>
      </c>
      <c r="Y1192" s="1" t="inlineStr">
        <is>
          <t>Рождественское чудо. Старинный альбом: альбом открыток</t>
        </is>
      </c>
      <c r="Z1192" s="1" t="inlineStr">
        <is>
          <t>6 +</t>
        </is>
      </c>
      <c r="AA1192" s="12" t="n">
        <v>42329</v>
      </c>
      <c r="AB1192" s="1" t="inlineStr">
        <is>
          <t>Духовная литература</t>
        </is>
      </c>
      <c r="AC1192" s="1" t="inlineStr">
        <is>
          <t>Православие</t>
        </is>
      </c>
      <c r="AE1192" s="1" t="inlineStr">
        <is>
          <t> </t>
        </is>
      </c>
      <c r="AG1192" s="1" t="n">
        <v>7290630</v>
      </c>
      <c r="AI1192" s="1" t="inlineStr">
        <is>
          <t>4820103000</t>
        </is>
      </c>
    </row>
    <row r="1193" customFormat="1" s="1">
      <c r="C1193" s="1" t="inlineStr">
        <is>
          <t xml:space="preserve">8623210             </t>
        </is>
      </c>
      <c r="D1193" s="1" t="inlineStr">
        <is>
          <t>Иллюстрированная библиотека школьника</t>
        </is>
      </c>
      <c r="E1193" s="1" t="inlineStr">
        <is>
          <t>Лесные сказки: рассказы и сказки. Бианки В.В.</t>
        </is>
      </c>
      <c r="F1193" s="13" t="inlineStr">
        <is>
          <t>См.обл.</t>
        </is>
      </c>
      <c r="G1193" s="1" t="inlineStr">
        <is>
          <t>Бианки В.В.</t>
        </is>
      </c>
      <c r="H1193" s="1" t="inlineStr">
        <is>
          <t>70х100/16</t>
        </is>
      </c>
      <c r="I1193" s="1" t="n">
        <v>47</v>
      </c>
      <c r="J1193" s="1" t="inlineStr">
        <is>
          <t>РИПОЛ Классик**</t>
        </is>
      </c>
      <c r="K1193" s="1" t="inlineStr">
        <is>
          <t>Пальмира</t>
        </is>
      </c>
      <c r="M1193" s="1" t="inlineStr">
        <is>
          <t>2018</t>
        </is>
      </c>
      <c r="N1193" s="1" t="inlineStr">
        <is>
          <t>П</t>
        </is>
      </c>
      <c r="O1193" s="9" t="n">
        <v>82</v>
      </c>
      <c r="P1193" s="1">
        <f>ROUNDUP(402.4*(1-$F$3),2)</f>
        <v/>
      </c>
      <c r="Q1193" s="1" t="inlineStr">
        <is>
          <t> </t>
        </is>
      </c>
      <c r="R1193" s="1" t="inlineStr">
        <is>
          <t>978-5-386-10971-4</t>
        </is>
      </c>
      <c r="S1193" s="1" t="inlineStr">
        <is>
          <t>9785386109714</t>
        </is>
      </c>
      <c r="T1193" s="9" t="n">
        <v>10</v>
      </c>
      <c r="U1193" s="1">
        <f>ROUNDUP(365.82*(1-$F$3),2)</f>
        <v/>
      </c>
      <c r="V1193" s="1" t="n">
        <v>252</v>
      </c>
      <c r="Y1193" s="1" t="inlineStr">
        <is>
          <t>Лесные сказки: рассказы и сказки</t>
        </is>
      </c>
      <c r="Z1193" s="1" t="inlineStr">
        <is>
          <t>6 +</t>
        </is>
      </c>
      <c r="AA1193" s="12" t="n">
        <v>43218</v>
      </c>
      <c r="AB1193" s="1" t="inlineStr">
        <is>
          <t>Детская литература</t>
        </is>
      </c>
      <c r="AC1193" s="1" t="inlineStr">
        <is>
          <t>Художественная литература</t>
        </is>
      </c>
      <c r="AD1193" s="1" t="inlineStr">
        <is>
          <t>Литературная сказка</t>
        </is>
      </c>
      <c r="AE1193" s="1" t="inlineStr">
        <is>
          <t>офсетная</t>
        </is>
      </c>
      <c r="AG1193" s="1" t="n">
        <v>8623210</v>
      </c>
      <c r="AI1193" s="1" t="inlineStr">
        <is>
          <t>4901990000</t>
        </is>
      </c>
    </row>
    <row r="1194" ht="18" customFormat="1" customHeight="1" s="16">
      <c r="B1194" s="16" t="inlineStr">
        <is>
          <t>Жанр: Книги издательства "Партнерской программы"(Эксклюзив)</t>
        </is>
      </c>
      <c r="F1194" s="17" t="n"/>
      <c r="O1194" s="25" t="n"/>
      <c r="T1194" s="25" t="n"/>
      <c r="AA1194" s="18" t="n"/>
    </row>
    <row r="1195" ht="16.5" customFormat="1" customHeight="1" s="22">
      <c r="B1195" s="22" t="inlineStr">
        <is>
          <t>Дом историй (Эксклюзив)</t>
        </is>
      </c>
      <c r="F1195" s="23" t="n"/>
      <c r="O1195" s="27" t="n"/>
      <c r="T1195" s="27" t="n"/>
      <c r="AA1195" s="24" t="n"/>
    </row>
    <row r="1196" customFormat="1" s="1">
      <c r="C1196" s="1" t="inlineStr">
        <is>
          <t xml:space="preserve">11541280            </t>
        </is>
      </c>
      <c r="E1196" s="1" t="inlineStr">
        <is>
          <t>Бесчестье; В ожидании варваров; Осень в Петербурге (комплект из 3-х книг). Кутзее Дж.М.</t>
        </is>
      </c>
      <c r="F1196" s="13" t="inlineStr">
        <is>
          <t>См.обл.</t>
        </is>
      </c>
      <c r="G1196" s="1" t="inlineStr">
        <is>
          <t>Кутзее Дж.М.</t>
        </is>
      </c>
      <c r="H1196" s="1" t="inlineStr">
        <is>
          <t>84х108/32</t>
        </is>
      </c>
      <c r="I1196" s="1" t="n">
        <v>960</v>
      </c>
      <c r="J1196" s="1" t="inlineStr">
        <is>
          <t>Дом историй</t>
        </is>
      </c>
      <c r="K1196" s="1" t="inlineStr">
        <is>
          <t>Эвербук</t>
        </is>
      </c>
      <c r="M1196" s="1" t="inlineStr">
        <is>
          <t>2023</t>
        </is>
      </c>
      <c r="N1196" s="1" t="inlineStr">
        <is>
          <t>О</t>
        </is>
      </c>
      <c r="O1196" s="9" t="n"/>
      <c r="P1196" s="1">
        <f>ROUNDUP(2800*(1-$F$3),2)</f>
        <v/>
      </c>
      <c r="Q1196" s="1" t="inlineStr">
        <is>
          <t> </t>
        </is>
      </c>
      <c r="R1196" s="1" t="inlineStr">
        <is>
          <t>978-5-521-82848-7</t>
        </is>
      </c>
      <c r="S1196" s="1" t="inlineStr">
        <is>
          <t>9785521828487</t>
        </is>
      </c>
      <c r="T1196" s="9" t="n">
        <v>22</v>
      </c>
      <c r="U1196" s="1">
        <f>ROUNDUP(2295.08*(1-$F$3),2)</f>
        <v/>
      </c>
      <c r="V1196" s="1" t="n">
        <v>805</v>
      </c>
      <c r="Y1196" s="1" t="inlineStr">
        <is>
          <t>Бесчестье; В ожидании варваров; Осень в Петербурге (комплект из 3-х книг)</t>
        </is>
      </c>
      <c r="Z1196" s="1" t="inlineStr">
        <is>
          <t>18+</t>
        </is>
      </c>
      <c r="AA1196" s="12" t="n">
        <v>45603</v>
      </c>
      <c r="AB1196" s="1" t="inlineStr">
        <is>
          <t>Художественная литература</t>
        </is>
      </c>
      <c r="AC1196" s="1" t="inlineStr">
        <is>
          <t>Зарубежная литература</t>
        </is>
      </c>
      <c r="AD1196" s="1" t="inlineStr">
        <is>
          <t>Литература стран Азии и Африки</t>
        </is>
      </c>
      <c r="AE1196" s="1" t="inlineStr">
        <is>
          <t>офсетная</t>
        </is>
      </c>
      <c r="AG1196" s="1" t="n">
        <v>11541280</v>
      </c>
      <c r="AI1196" s="1" t="inlineStr">
        <is>
          <t>4901990000</t>
        </is>
      </c>
      <c r="AJ1196" s="1" t="inlineStr">
        <is>
          <t>Зпв</t>
        </is>
      </c>
    </row>
    <row r="1197" customFormat="1" s="1">
      <c r="C1197" s="1" t="inlineStr">
        <is>
          <t>12054380</t>
        </is>
      </c>
      <c r="E1197" s="1" t="inlineStr">
        <is>
          <t>Ведьмин ресторан; Оккультриелтор (комплект из 2-х книг). Ку Санхи, Цзян Тай-юй</t>
        </is>
      </c>
      <c r="F1197" s="13" t="inlineStr">
        <is>
          <t>См.обл.</t>
        </is>
      </c>
      <c r="G1197" s="1" t="inlineStr">
        <is>
          <t>Ку Санхи, Цзян Тай-юй</t>
        </is>
      </c>
      <c r="H1197" s="1" t="inlineStr">
        <is>
          <t>84х108/32</t>
        </is>
      </c>
      <c r="I1197" s="1" t="n">
        <v>688</v>
      </c>
      <c r="J1197" s="1" t="inlineStr">
        <is>
          <t>Дом историй</t>
        </is>
      </c>
      <c r="K1197" s="1" t="inlineStr">
        <is>
          <t>Эвербук</t>
        </is>
      </c>
      <c r="M1197" s="1" t="inlineStr">
        <is>
          <t>2026</t>
        </is>
      </c>
      <c r="N1197" s="1" t="inlineStr">
        <is>
          <t>П</t>
        </is>
      </c>
      <c r="O1197" s="9" t="n"/>
      <c r="P1197" s="1">
        <f>ROUNDUP(1791*(1-$F$3),2)</f>
        <v/>
      </c>
      <c r="Q1197" s="1" t="inlineStr">
        <is>
          <t> </t>
        </is>
      </c>
      <c r="R1197" s="1" t="inlineStr">
        <is>
          <t>978-5-8853-9279-2</t>
        </is>
      </c>
      <c r="S1197" s="1" t="inlineStr">
        <is>
          <t>9785885392792</t>
        </is>
      </c>
      <c r="T1197" s="9" t="n">
        <v>10</v>
      </c>
      <c r="U1197" s="1">
        <f>ROUNDUP(1628.18*(1-$F$3),2)</f>
        <v/>
      </c>
      <c r="V1197" s="1" t="n">
        <v>768</v>
      </c>
      <c r="Y1197" s="1" t="inlineStr">
        <is>
          <t>Ведьмин ресторан; Оккультриелтор (комплект из 2-х книг)</t>
        </is>
      </c>
      <c r="Z1197" s="1" t="inlineStr">
        <is>
          <t>16+</t>
        </is>
      </c>
      <c r="AA1197" s="12" t="n">
        <v>46083</v>
      </c>
      <c r="AB1197" s="1" t="inlineStr">
        <is>
          <t>Художественная литература</t>
        </is>
      </c>
      <c r="AC1197" s="1" t="inlineStr">
        <is>
          <t>Фантастика. Мистика. Ужасы</t>
        </is>
      </c>
      <c r="AD1197" s="1" t="inlineStr">
        <is>
          <t>Мистика. Ужасы</t>
        </is>
      </c>
      <c r="AE1197" s="1" t="inlineStr">
        <is>
          <t>офсетная</t>
        </is>
      </c>
      <c r="AG1197" s="1" t="n">
        <v>12054380</v>
      </c>
      <c r="AI1197" s="1" t="inlineStr">
        <is>
          <t>4901990000</t>
        </is>
      </c>
    </row>
    <row r="1198" customFormat="1" s="1">
      <c r="C1198" s="1" t="inlineStr">
        <is>
          <t>12121390</t>
        </is>
      </c>
      <c r="E1198" s="1" t="inlineStr">
        <is>
          <t>Да хранят тебя боги (с автографом). Рябова А.</t>
        </is>
      </c>
      <c r="F1198" s="13" t="inlineStr">
        <is>
          <t>См.обл.</t>
        </is>
      </c>
      <c r="G1198" s="1" t="inlineStr">
        <is>
          <t>Рябова А.</t>
        </is>
      </c>
      <c r="H1198" s="1" t="inlineStr">
        <is>
          <t>60х90/16</t>
        </is>
      </c>
      <c r="I1198" s="1" t="n">
        <v>400</v>
      </c>
      <c r="J1198" s="1" t="inlineStr">
        <is>
          <t>Дом историй</t>
        </is>
      </c>
      <c r="M1198" s="1" t="inlineStr">
        <is>
          <t>2026</t>
        </is>
      </c>
      <c r="N1198" s="1" t="inlineStr">
        <is>
          <t>П</t>
        </is>
      </c>
      <c r="O1198" s="9" t="n">
        <v>7</v>
      </c>
      <c r="P1198" s="1">
        <f>ROUNDUP(1320*(1-$F$3),2)</f>
        <v/>
      </c>
      <c r="Q1198" s="1" t="inlineStr">
        <is>
          <t> </t>
        </is>
      </c>
      <c r="R1198" s="1" t="inlineStr">
        <is>
          <t>978-5-8853-9755-1</t>
        </is>
      </c>
      <c r="S1198" s="1" t="inlineStr">
        <is>
          <t>9785885397551</t>
        </is>
      </c>
      <c r="T1198" s="9" t="n">
        <v>22</v>
      </c>
      <c r="U1198" s="1">
        <f>ROUNDUP(1081.97*(1-$F$3),2)</f>
        <v/>
      </c>
      <c r="V1198" s="1" t="n">
        <v>572</v>
      </c>
      <c r="Y1198" s="1" t="inlineStr">
        <is>
          <t>Да хранят тебя боги (с автографом)</t>
        </is>
      </c>
      <c r="Z1198" s="1" t="inlineStr">
        <is>
          <t>18+</t>
        </is>
      </c>
      <c r="AA1198" s="12" t="n">
        <v>46148</v>
      </c>
      <c r="AB1198" s="1" t="inlineStr">
        <is>
          <t>Художественная литература</t>
        </is>
      </c>
      <c r="AC1198" s="1" t="inlineStr">
        <is>
          <t>Фантастика. Мистика. Ужасы</t>
        </is>
      </c>
      <c r="AD1198" s="1" t="inlineStr">
        <is>
          <t>Фэнтези</t>
        </is>
      </c>
      <c r="AE1198" s="1" t="inlineStr">
        <is>
          <t>офсетная</t>
        </is>
      </c>
      <c r="AG1198" s="1" t="n">
        <v>12121390</v>
      </c>
      <c r="AI1198" s="1" t="inlineStr">
        <is>
          <t>4901990000</t>
        </is>
      </c>
    </row>
    <row r="1199" customFormat="1" s="1">
      <c r="C1199" s="1" t="inlineStr">
        <is>
          <t>12095200</t>
        </is>
      </c>
      <c r="E1199" s="1" t="inlineStr">
        <is>
          <t>Да хранят тебя боги + блокнот. Рябова А.</t>
        </is>
      </c>
      <c r="F1199" s="13" t="inlineStr">
        <is>
          <t>См.обл.</t>
        </is>
      </c>
      <c r="G1199" s="1" t="inlineStr">
        <is>
          <t>Рябова А.</t>
        </is>
      </c>
      <c r="H1199" s="1" t="inlineStr">
        <is>
          <t>60х90/16</t>
        </is>
      </c>
      <c r="I1199" s="1" t="n">
        <v>700</v>
      </c>
      <c r="J1199" s="1" t="inlineStr">
        <is>
          <t>Дом историй</t>
        </is>
      </c>
      <c r="M1199" s="1" t="inlineStr">
        <is>
          <t>2026</t>
        </is>
      </c>
      <c r="N1199" s="1" t="inlineStr">
        <is>
          <t>П</t>
        </is>
      </c>
      <c r="O1199" s="9" t="n"/>
      <c r="P1199" s="1">
        <f>ROUNDUP(2690*(1-$F$3),2)</f>
        <v/>
      </c>
      <c r="Q1199" s="1" t="inlineStr">
        <is>
          <t> </t>
        </is>
      </c>
      <c r="R1199" s="1" t="inlineStr">
        <is>
          <t>978-5-8853-9315-7</t>
        </is>
      </c>
      <c r="S1199" s="1" t="inlineStr">
        <is>
          <t>9785885393157</t>
        </is>
      </c>
      <c r="T1199" s="9" t="n">
        <v>22</v>
      </c>
      <c r="U1199" s="1">
        <f>ROUNDUP(2204.92*(1-$F$3),2)</f>
        <v/>
      </c>
      <c r="V1199" s="1" t="n">
        <v>911</v>
      </c>
      <c r="Y1199" s="1" t="inlineStr">
        <is>
          <t>Да хранят тебя боги + блокнот</t>
        </is>
      </c>
      <c r="Z1199" s="1" t="inlineStr">
        <is>
          <t>18+</t>
        </is>
      </c>
      <c r="AA1199" s="12" t="n">
        <v>46122</v>
      </c>
      <c r="AB1199" s="1" t="inlineStr">
        <is>
          <t>Художественная литература</t>
        </is>
      </c>
      <c r="AC1199" s="1" t="inlineStr">
        <is>
          <t>Фантастика. Мистика. Ужасы</t>
        </is>
      </c>
      <c r="AD1199" s="1" t="inlineStr">
        <is>
          <t>Фэнтези</t>
        </is>
      </c>
      <c r="AE1199" s="1" t="inlineStr">
        <is>
          <t>офсетная</t>
        </is>
      </c>
      <c r="AG1199" s="1" t="n">
        <v>12095200</v>
      </c>
      <c r="AI1199" s="1" t="inlineStr">
        <is>
          <t>4901990000</t>
        </is>
      </c>
    </row>
    <row r="1200" customFormat="1" s="1">
      <c r="C1200" s="1" t="inlineStr">
        <is>
          <t xml:space="preserve">12075740            </t>
        </is>
      </c>
      <c r="E1200" s="1" t="inlineStr">
        <is>
          <t>Да хранят тебя боги. Рябова А.</t>
        </is>
      </c>
      <c r="F1200" s="13" t="inlineStr">
        <is>
          <t>См.обл.</t>
        </is>
      </c>
      <c r="G1200" s="1" t="inlineStr">
        <is>
          <t>Рябова А.</t>
        </is>
      </c>
      <c r="H1200" s="1" t="inlineStr">
        <is>
          <t>60х90/16</t>
        </is>
      </c>
      <c r="I1200" s="1" t="n">
        <v>400</v>
      </c>
      <c r="J1200" s="1" t="inlineStr">
        <is>
          <t>Дом историй</t>
        </is>
      </c>
      <c r="K1200" s="1" t="inlineStr">
        <is>
          <t>Эвербук</t>
        </is>
      </c>
      <c r="M1200" s="1" t="inlineStr">
        <is>
          <t>2026</t>
        </is>
      </c>
      <c r="N1200" s="1" t="inlineStr">
        <is>
          <t>П</t>
        </is>
      </c>
      <c r="O1200" s="9" t="n">
        <v>7</v>
      </c>
      <c r="P1200" s="1">
        <f>ROUNDUP(1200*(1-$F$3),2)</f>
        <v/>
      </c>
      <c r="Q1200" s="1" t="inlineStr">
        <is>
          <t> </t>
        </is>
      </c>
      <c r="R1200" s="1" t="inlineStr">
        <is>
          <t>978-5-386-15603-9</t>
        </is>
      </c>
      <c r="S1200" s="1" t="inlineStr">
        <is>
          <t>9785386156039</t>
        </is>
      </c>
      <c r="T1200" s="9" t="n">
        <v>22</v>
      </c>
      <c r="U1200" s="1">
        <f>ROUNDUP(983.61*(1-$F$3),2)</f>
        <v/>
      </c>
      <c r="V1200" s="1" t="n">
        <v>572</v>
      </c>
      <c r="Y1200" s="1" t="inlineStr">
        <is>
          <t>Да хранят тебя боги</t>
        </is>
      </c>
      <c r="Z1200" s="1" t="inlineStr">
        <is>
          <t>18+</t>
        </is>
      </c>
      <c r="AA1200" s="12" t="n">
        <v>46112</v>
      </c>
      <c r="AB1200" s="1" t="inlineStr">
        <is>
          <t>Художественная литература</t>
        </is>
      </c>
      <c r="AC1200" s="1" t="inlineStr">
        <is>
          <t>Фантастика. Мистика. Ужасы</t>
        </is>
      </c>
      <c r="AD1200" s="1" t="inlineStr">
        <is>
          <t>Фэнтези</t>
        </is>
      </c>
      <c r="AE1200" s="1" t="inlineStr">
        <is>
          <t>офсетная</t>
        </is>
      </c>
      <c r="AG1200" s="1" t="n">
        <v>12075740</v>
      </c>
      <c r="AI1200" s="1" t="inlineStr">
        <is>
          <t>4901990000</t>
        </is>
      </c>
    </row>
    <row r="1201" customFormat="1" s="1">
      <c r="C1201" s="1" t="inlineStr">
        <is>
          <t xml:space="preserve">11954500            </t>
        </is>
      </c>
      <c r="E1201" s="1" t="inlineStr">
        <is>
          <t>Калинов мост (эксклюзив). Пронин А., Пронина Е.</t>
        </is>
      </c>
      <c r="F1201" s="13" t="inlineStr">
        <is>
          <t>См.обл.</t>
        </is>
      </c>
      <c r="G1201" s="1" t="inlineStr">
        <is>
          <t>Пронин А., Пронина Е.</t>
        </is>
      </c>
      <c r="H1201" s="1" t="inlineStr">
        <is>
          <t>84х108/32</t>
        </is>
      </c>
      <c r="I1201" s="1" t="n">
        <v>384</v>
      </c>
      <c r="J1201" s="1" t="inlineStr">
        <is>
          <t>Дом историй</t>
        </is>
      </c>
      <c r="K1201" s="1" t="inlineStr">
        <is>
          <t>Эвербук</t>
        </is>
      </c>
      <c r="M1201" s="1" t="inlineStr">
        <is>
          <t>2026</t>
        </is>
      </c>
      <c r="N1201" s="1" t="inlineStr">
        <is>
          <t>П</t>
        </is>
      </c>
      <c r="O1201" s="9" t="n">
        <v>10</v>
      </c>
      <c r="P1201" s="1">
        <f>ROUNDUP(1210*(1-$F$3),2)</f>
        <v/>
      </c>
      <c r="Q1201" s="1" t="inlineStr">
        <is>
          <t> </t>
        </is>
      </c>
      <c r="R1201" s="1" t="inlineStr">
        <is>
          <t>978-5-386-15561-2</t>
        </is>
      </c>
      <c r="S1201" s="1" t="inlineStr">
        <is>
          <t>9785386155612</t>
        </is>
      </c>
      <c r="T1201" s="9" t="n">
        <v>10</v>
      </c>
      <c r="U1201" s="1">
        <f>ROUNDUP(1100*(1-$F$3),2)</f>
        <v/>
      </c>
      <c r="V1201" s="1" t="n">
        <v>486</v>
      </c>
      <c r="Y1201" s="1" t="inlineStr">
        <is>
          <t>Калинов мост (эксклюзив)</t>
        </is>
      </c>
      <c r="Z1201" s="1" t="inlineStr">
        <is>
          <t>16+</t>
        </is>
      </c>
      <c r="AA1201" s="12" t="n">
        <v>45987</v>
      </c>
      <c r="AB1201" s="1" t="inlineStr">
        <is>
          <t>Художественная литература</t>
        </is>
      </c>
      <c r="AC1201" s="1" t="inlineStr">
        <is>
          <t>Фантастика. Мистика. Ужасы</t>
        </is>
      </c>
      <c r="AD1201" s="1" t="inlineStr">
        <is>
          <t>Фэнтези</t>
        </is>
      </c>
      <c r="AE1201" s="1" t="inlineStr">
        <is>
          <t>офсетная</t>
        </is>
      </c>
      <c r="AG1201" s="1" t="n">
        <v>11954500</v>
      </c>
      <c r="AI1201" s="1" t="inlineStr">
        <is>
          <t>4901990000</t>
        </is>
      </c>
    </row>
    <row r="1202" customFormat="1" s="1">
      <c r="C1202" s="1" t="inlineStr">
        <is>
          <t xml:space="preserve">11956490            </t>
        </is>
      </c>
      <c r="E1202" s="1" t="inlineStr">
        <is>
          <t>Калинов мост (эксклюзив, альтернативное издание). Пронин А., Пронина Е.</t>
        </is>
      </c>
      <c r="F1202" s="13" t="inlineStr">
        <is>
          <t>См.обл.</t>
        </is>
      </c>
      <c r="G1202" s="1" t="inlineStr">
        <is>
          <t>Пронин А., Пронина Е.</t>
        </is>
      </c>
      <c r="H1202" s="1" t="inlineStr">
        <is>
          <t>84х108/32</t>
        </is>
      </c>
      <c r="I1202" s="1" t="n">
        <v>384</v>
      </c>
      <c r="J1202" s="1" t="inlineStr">
        <is>
          <t>Дом историй</t>
        </is>
      </c>
      <c r="K1202" s="1" t="inlineStr">
        <is>
          <t>Эвербук</t>
        </is>
      </c>
      <c r="M1202" s="1" t="inlineStr">
        <is>
          <t>2026</t>
        </is>
      </c>
      <c r="N1202" s="1" t="inlineStr">
        <is>
          <t>П</t>
        </is>
      </c>
      <c r="O1202" s="9" t="n">
        <v>10</v>
      </c>
      <c r="P1202" s="1">
        <f>ROUNDUP(1410*(1-$F$3),2)</f>
        <v/>
      </c>
      <c r="Q1202" s="1" t="inlineStr">
        <is>
          <t> </t>
        </is>
      </c>
      <c r="R1202" s="1" t="inlineStr">
        <is>
          <t>978-5-386-15562-9</t>
        </is>
      </c>
      <c r="S1202" s="1" t="inlineStr">
        <is>
          <t>9785386155629</t>
        </is>
      </c>
      <c r="T1202" s="9" t="n">
        <v>10</v>
      </c>
      <c r="U1202" s="1">
        <f>ROUNDUP(1281.82*(1-$F$3),2)</f>
        <v/>
      </c>
      <c r="V1202" s="1" t="n">
        <v>485</v>
      </c>
      <c r="Y1202" s="1" t="inlineStr">
        <is>
          <t>Калинов мост (эксклюзив, альтернативное издание)</t>
        </is>
      </c>
      <c r="Z1202" s="1" t="inlineStr">
        <is>
          <t>16+</t>
        </is>
      </c>
      <c r="AA1202" s="12" t="n">
        <v>45987</v>
      </c>
      <c r="AB1202" s="1" t="inlineStr">
        <is>
          <t>Художественная литература</t>
        </is>
      </c>
      <c r="AC1202" s="1" t="inlineStr">
        <is>
          <t>Фантастика. Мистика. Ужасы</t>
        </is>
      </c>
      <c r="AD1202" s="1" t="inlineStr">
        <is>
          <t>Фэнтези</t>
        </is>
      </c>
      <c r="AE1202" s="1" t="inlineStr">
        <is>
          <t>офсетная</t>
        </is>
      </c>
      <c r="AG1202" s="1" t="n">
        <v>11956490</v>
      </c>
      <c r="AI1202" s="1" t="inlineStr">
        <is>
          <t>4901990000</t>
        </is>
      </c>
    </row>
    <row r="1203" customFormat="1" s="1">
      <c r="C1203" s="1" t="inlineStr">
        <is>
          <t>11757510</t>
        </is>
      </c>
      <c r="E1203" s="1" t="inlineStr">
        <is>
          <t>Клуб любителей искусства и расследований; Руководство для начинающего детектива-реставратора (комплект из 2-х книг). Экклстон М.</t>
        </is>
      </c>
      <c r="F1203" s="13" t="inlineStr">
        <is>
          <t>См.обл.</t>
        </is>
      </c>
      <c r="G1203" s="1" t="inlineStr">
        <is>
          <t>Экклстон М.</t>
        </is>
      </c>
      <c r="H1203" s="1" t="inlineStr">
        <is>
          <t>84х108/32</t>
        </is>
      </c>
      <c r="I1203" s="1" t="n">
        <v>864</v>
      </c>
      <c r="J1203" s="1" t="inlineStr">
        <is>
          <t>Дом историй</t>
        </is>
      </c>
      <c r="K1203" s="1" t="inlineStr">
        <is>
          <t>Эвербук</t>
        </is>
      </c>
      <c r="M1203" s="1" t="inlineStr">
        <is>
          <t>2026</t>
        </is>
      </c>
      <c r="N1203" s="1" t="inlineStr">
        <is>
          <t>О</t>
        </is>
      </c>
      <c r="O1203" s="9" t="n"/>
      <c r="P1203" s="1">
        <f>ROUNDUP(1550*(1-$F$3),2)</f>
        <v/>
      </c>
      <c r="Q1203" s="1" t="inlineStr">
        <is>
          <t> </t>
        </is>
      </c>
      <c r="R1203" s="1" t="inlineStr">
        <is>
          <t>978-5-8853-6771-4</t>
        </is>
      </c>
      <c r="S1203" s="1" t="inlineStr">
        <is>
          <t>9785885367714</t>
        </is>
      </c>
      <c r="T1203" s="9" t="n">
        <v>10</v>
      </c>
      <c r="U1203" s="1">
        <f>ROUNDUP(1409.09*(1-$F$3),2)</f>
        <v/>
      </c>
      <c r="V1203" s="1" t="n">
        <v>764</v>
      </c>
      <c r="Y1203" s="1" t="inlineStr">
        <is>
          <t>Клуб любителей искусства и расследований; Руководство для начинающего детектива-реставратора (комплект из 2-х книг)</t>
        </is>
      </c>
      <c r="Z1203" s="1" t="inlineStr">
        <is>
          <t>16+</t>
        </is>
      </c>
      <c r="AA1203" s="12" t="n">
        <v>45792</v>
      </c>
      <c r="AB1203" s="1" t="inlineStr">
        <is>
          <t>Художественная литература</t>
        </is>
      </c>
      <c r="AC1203" s="1" t="inlineStr">
        <is>
          <t>Детективы. Боевики. Триллеры</t>
        </is>
      </c>
      <c r="AD1203" s="1" t="inlineStr">
        <is>
          <t>Зарубежный детектив</t>
        </is>
      </c>
      <c r="AE1203" s="1" t="inlineStr">
        <is>
          <t>офсетная</t>
        </is>
      </c>
      <c r="AG1203" s="1" t="n">
        <v>11757510</v>
      </c>
      <c r="AI1203" s="1" t="inlineStr">
        <is>
          <t>4901990000</t>
        </is>
      </c>
      <c r="AJ1203" s="1" t="inlineStr">
        <is>
          <t>Зпв</t>
        </is>
      </c>
    </row>
    <row r="1204" customFormat="1" s="1">
      <c r="C1204" s="1" t="inlineStr">
        <is>
          <t xml:space="preserve">11541480            </t>
        </is>
      </c>
      <c r="E1204" s="1" t="inlineStr">
        <is>
          <t>Книготорговец из Кабула. Сейерстад О.</t>
        </is>
      </c>
      <c r="F1204" s="13" t="inlineStr">
        <is>
          <t>См.обл.</t>
        </is>
      </c>
      <c r="G1204" s="1" t="inlineStr">
        <is>
          <t>Сейерстад О.</t>
        </is>
      </c>
      <c r="H1204" s="1" t="inlineStr">
        <is>
          <t>70х100/32</t>
        </is>
      </c>
      <c r="I1204" s="1" t="n">
        <v>352</v>
      </c>
      <c r="J1204" s="1" t="inlineStr">
        <is>
          <t>Дом историй</t>
        </is>
      </c>
      <c r="K1204" s="1" t="inlineStr">
        <is>
          <t>Эвербук</t>
        </is>
      </c>
      <c r="M1204" s="1" t="inlineStr">
        <is>
          <t>2024</t>
        </is>
      </c>
      <c r="N1204" s="1" t="inlineStr">
        <is>
          <t>П</t>
        </is>
      </c>
      <c r="O1204" s="9" t="n">
        <v>6</v>
      </c>
      <c r="P1204" s="1">
        <f>ROUNDUP(980*(1-$F$3),2)</f>
        <v/>
      </c>
      <c r="Q1204" s="1" t="inlineStr">
        <is>
          <t> </t>
        </is>
      </c>
      <c r="R1204" s="1" t="inlineStr">
        <is>
          <t>978-5-0058-0417-4</t>
        </is>
      </c>
      <c r="S1204" s="1" t="inlineStr">
        <is>
          <t>9785005804174</t>
        </is>
      </c>
      <c r="T1204" s="9" t="n">
        <v>22</v>
      </c>
      <c r="U1204" s="1">
        <f>ROUNDUP(803.28*(1-$F$3),2)</f>
        <v/>
      </c>
      <c r="V1204" s="1" t="n">
        <v>277</v>
      </c>
      <c r="Y1204" s="1" t="inlineStr">
        <is>
          <t>Книготорговец из Кабула</t>
        </is>
      </c>
      <c r="Z1204" s="1" t="inlineStr">
        <is>
          <t>18+</t>
        </is>
      </c>
      <c r="AA1204" s="12" t="n">
        <v>45603</v>
      </c>
      <c r="AB1204" s="1" t="inlineStr">
        <is>
          <t>Художественная литература</t>
        </is>
      </c>
      <c r="AC1204" s="1" t="inlineStr">
        <is>
          <t>Зарубежная литература</t>
        </is>
      </c>
      <c r="AD1204" s="1" t="inlineStr">
        <is>
          <t>Европейская литература</t>
        </is>
      </c>
      <c r="AE1204" s="1" t="inlineStr">
        <is>
          <t>офсетная</t>
        </is>
      </c>
      <c r="AG1204" s="1" t="n">
        <v>11541480</v>
      </c>
      <c r="AI1204" s="1" t="inlineStr">
        <is>
          <t>4901990000</t>
        </is>
      </c>
    </row>
    <row r="1205" customFormat="1" s="1">
      <c r="C1205" s="1" t="inlineStr">
        <is>
          <t xml:space="preserve">11856800            </t>
        </is>
      </c>
      <c r="E1205" s="1" t="inlineStr">
        <is>
          <t>Копия неверна. Дыбовская Т.В.</t>
        </is>
      </c>
      <c r="F1205" s="13" t="inlineStr">
        <is>
          <t>См.обл.</t>
        </is>
      </c>
      <c r="G1205" s="1" t="inlineStr">
        <is>
          <t>Дыбовская Т.В.</t>
        </is>
      </c>
      <c r="H1205" s="1" t="inlineStr">
        <is>
          <t>84х108/32</t>
        </is>
      </c>
      <c r="I1205" s="1" t="n">
        <v>352</v>
      </c>
      <c r="J1205" s="1" t="inlineStr">
        <is>
          <t>Дом историй</t>
        </is>
      </c>
      <c r="K1205" s="1" t="inlineStr">
        <is>
          <t>Эвербук</t>
        </is>
      </c>
      <c r="M1205" s="1" t="inlineStr">
        <is>
          <t>2026</t>
        </is>
      </c>
      <c r="N1205" s="1" t="inlineStr">
        <is>
          <t>П</t>
        </is>
      </c>
      <c r="O1205" s="9" t="n">
        <v>12</v>
      </c>
      <c r="P1205" s="1">
        <f>ROUNDUP(930*(1-$F$3),2)</f>
        <v/>
      </c>
      <c r="Q1205" s="1" t="inlineStr">
        <is>
          <t> </t>
        </is>
      </c>
      <c r="R1205" s="1" t="inlineStr">
        <is>
          <t>978-5-0058-0912-4</t>
        </is>
      </c>
      <c r="S1205" s="1" t="inlineStr">
        <is>
          <t>9785005809124</t>
        </is>
      </c>
      <c r="T1205" s="9" t="n">
        <v>10</v>
      </c>
      <c r="U1205" s="1">
        <f>ROUNDUP(845.45*(1-$F$3),2)</f>
        <v/>
      </c>
      <c r="V1205" s="1" t="n">
        <v>391</v>
      </c>
      <c r="Y1205" s="1" t="inlineStr">
        <is>
          <t>Копия неверна</t>
        </is>
      </c>
      <c r="Z1205" s="1" t="inlineStr">
        <is>
          <t>16+</t>
        </is>
      </c>
      <c r="AA1205" s="12" t="n">
        <v>45914</v>
      </c>
      <c r="AB1205" s="1" t="inlineStr">
        <is>
          <t>Художественная литература</t>
        </is>
      </c>
      <c r="AC1205" s="1" t="inlineStr">
        <is>
          <t>Детективы. Боевики. Триллеры</t>
        </is>
      </c>
      <c r="AD1205" s="1" t="inlineStr">
        <is>
          <t>Триллеры</t>
        </is>
      </c>
      <c r="AE1205" s="1" t="inlineStr">
        <is>
          <t>офсетная</t>
        </is>
      </c>
      <c r="AG1205" s="1" t="n">
        <v>11856800</v>
      </c>
      <c r="AI1205" s="1" t="inlineStr">
        <is>
          <t>4901990000</t>
        </is>
      </c>
    </row>
    <row r="1206" customFormat="1" s="1">
      <c r="C1206" s="1" t="inlineStr">
        <is>
          <t xml:space="preserve">11541320            </t>
        </is>
      </c>
      <c r="E1206" s="1" t="inlineStr">
        <is>
          <t>Кровавое ранчо; Мертвые цветы; Смертельное свидание (комплект из 3-х книг). Худ Д.К.</t>
        </is>
      </c>
      <c r="F1206" s="13" t="inlineStr">
        <is>
          <t>См.обл.</t>
        </is>
      </c>
      <c r="G1206" s="1" t="inlineStr">
        <is>
          <t>Худ Д.К.</t>
        </is>
      </c>
      <c r="H1206" s="1" t="inlineStr">
        <is>
          <t>84х108/32</t>
        </is>
      </c>
      <c r="I1206" s="1" t="n">
        <v>1056</v>
      </c>
      <c r="J1206" s="1" t="inlineStr">
        <is>
          <t>Дом историй</t>
        </is>
      </c>
      <c r="K1206" s="1" t="inlineStr">
        <is>
          <t>Эвербук</t>
        </is>
      </c>
      <c r="M1206" s="1" t="inlineStr">
        <is>
          <t>2024</t>
        </is>
      </c>
      <c r="N1206" s="1" t="inlineStr">
        <is>
          <t>П</t>
        </is>
      </c>
      <c r="O1206" s="9" t="n"/>
      <c r="P1206" s="1">
        <f>ROUNDUP(2790*(1-$F$3),2)</f>
        <v/>
      </c>
      <c r="Q1206" s="1" t="inlineStr">
        <is>
          <t> </t>
        </is>
      </c>
      <c r="R1206" s="1" t="inlineStr">
        <is>
          <t>978-5-521-82991-0</t>
        </is>
      </c>
      <c r="S1206" s="1" t="inlineStr">
        <is>
          <t>9785521829910</t>
        </is>
      </c>
      <c r="T1206" s="9" t="n">
        <v>22</v>
      </c>
      <c r="U1206" s="1">
        <f>ROUNDUP(2286.89*(1-$F$3),2)</f>
        <v/>
      </c>
      <c r="V1206" s="1" t="n">
        <v>934</v>
      </c>
      <c r="Y1206" s="1" t="inlineStr">
        <is>
          <t>Кровавое ранчо; Мертвые цветы; Смертельное свидание (комплект из 3-х книг)</t>
        </is>
      </c>
      <c r="Z1206" s="1" t="inlineStr">
        <is>
          <t>18+</t>
        </is>
      </c>
      <c r="AA1206" s="12" t="n">
        <v>45603</v>
      </c>
      <c r="AB1206" s="1" t="inlineStr">
        <is>
          <t>Художественная литература</t>
        </is>
      </c>
      <c r="AC1206" s="1" t="inlineStr">
        <is>
          <t>Детективы. Боевики. Триллеры</t>
        </is>
      </c>
      <c r="AD1206" s="1" t="inlineStr">
        <is>
          <t>Триллеры</t>
        </is>
      </c>
      <c r="AE1206" s="1" t="inlineStr">
        <is>
          <t>офсетная</t>
        </is>
      </c>
      <c r="AG1206" s="1" t="n">
        <v>11541320</v>
      </c>
      <c r="AI1206" s="1" t="inlineStr">
        <is>
          <t>4901990000</t>
        </is>
      </c>
      <c r="AJ1206" s="1" t="inlineStr">
        <is>
          <t>Зпв</t>
        </is>
      </c>
    </row>
    <row r="1207" customFormat="1" s="1">
      <c r="C1207" s="1" t="inlineStr">
        <is>
          <t xml:space="preserve">11694040            </t>
        </is>
      </c>
      <c r="E1207" s="1" t="inlineStr">
        <is>
          <t>Мое убийство. Уильямс К.</t>
        </is>
      </c>
      <c r="F1207" s="13" t="inlineStr">
        <is>
          <t>См.обл.</t>
        </is>
      </c>
      <c r="G1207" s="1" t="inlineStr">
        <is>
          <t>Уильямс К.</t>
        </is>
      </c>
      <c r="H1207" s="1" t="inlineStr">
        <is>
          <t>84х108/32</t>
        </is>
      </c>
      <c r="I1207" s="1" t="n">
        <v>352</v>
      </c>
      <c r="J1207" s="1" t="inlineStr">
        <is>
          <t>Дом историй</t>
        </is>
      </c>
      <c r="K1207" s="1" t="inlineStr">
        <is>
          <t>Эвербук</t>
        </is>
      </c>
      <c r="M1207" s="1" t="inlineStr">
        <is>
          <t>2025</t>
        </is>
      </c>
      <c r="N1207" s="1" t="inlineStr">
        <is>
          <t>П</t>
        </is>
      </c>
      <c r="O1207" s="9" t="n">
        <v>10</v>
      </c>
      <c r="P1207" s="1">
        <f>ROUNDUP(1000*(1-$F$3),2)</f>
        <v/>
      </c>
      <c r="Q1207" s="1" t="inlineStr">
        <is>
          <t> </t>
        </is>
      </c>
      <c r="R1207" s="1" t="inlineStr">
        <is>
          <t>978-5-0058-0636-9</t>
        </is>
      </c>
      <c r="S1207" s="1" t="inlineStr">
        <is>
          <t>9785005806369</t>
        </is>
      </c>
      <c r="T1207" s="9" t="n">
        <v>22</v>
      </c>
      <c r="U1207" s="1">
        <f>ROUNDUP(819.67*(1-$F$3),2)</f>
        <v/>
      </c>
      <c r="V1207" s="1" t="n">
        <v>361</v>
      </c>
      <c r="Y1207" s="1" t="inlineStr">
        <is>
          <t>Мое убийство</t>
        </is>
      </c>
      <c r="Z1207" s="1" t="inlineStr">
        <is>
          <t>18+</t>
        </is>
      </c>
      <c r="AA1207" s="12" t="n">
        <v>45759</v>
      </c>
      <c r="AB1207" s="1" t="inlineStr">
        <is>
          <t>Художественная литература</t>
        </is>
      </c>
      <c r="AC1207" s="1" t="inlineStr">
        <is>
          <t>Детективы. Боевики. Триллеры</t>
        </is>
      </c>
      <c r="AD1207" s="1" t="inlineStr">
        <is>
          <t>Триллеры</t>
        </is>
      </c>
      <c r="AE1207" s="1" t="inlineStr">
        <is>
          <t>офсетная</t>
        </is>
      </c>
      <c r="AG1207" s="1" t="n">
        <v>11694040</v>
      </c>
      <c r="AI1207" s="1" t="inlineStr">
        <is>
          <t>4901990000</t>
        </is>
      </c>
    </row>
    <row r="1208" customFormat="1" s="1">
      <c r="C1208" s="1" t="inlineStr">
        <is>
          <t xml:space="preserve">12144070            </t>
        </is>
      </c>
      <c r="E1208" s="1" t="inlineStr">
        <is>
          <t>Темная суть. Командор А.</t>
        </is>
      </c>
      <c r="F1208" s="13" t="inlineStr">
        <is>
          <t>См.обл.</t>
        </is>
      </c>
      <c r="G1208" s="1" t="inlineStr">
        <is>
          <t>Командор А.</t>
        </is>
      </c>
      <c r="H1208" s="1" t="inlineStr">
        <is>
          <t>60х90/16</t>
        </is>
      </c>
      <c r="I1208" s="1" t="n">
        <v>416</v>
      </c>
      <c r="J1208" s="1" t="inlineStr">
        <is>
          <t>Дом историй</t>
        </is>
      </c>
      <c r="K1208" s="1" t="inlineStr">
        <is>
          <t>Эвербук</t>
        </is>
      </c>
      <c r="M1208" s="1" t="inlineStr">
        <is>
          <t>2026</t>
        </is>
      </c>
      <c r="N1208" s="1" t="inlineStr">
        <is>
          <t>П</t>
        </is>
      </c>
      <c r="O1208" s="9" t="n">
        <v>8</v>
      </c>
      <c r="P1208" s="1">
        <f>ROUNDUP(1100*(1-$F$3),2)</f>
        <v/>
      </c>
      <c r="Q1208" s="1" t="inlineStr">
        <is>
          <t> </t>
        </is>
      </c>
      <c r="R1208" s="1" t="inlineStr">
        <is>
          <t>978-5-386-15632-9</t>
        </is>
      </c>
      <c r="S1208" s="1" t="inlineStr">
        <is>
          <t>9785386156329</t>
        </is>
      </c>
      <c r="T1208" s="9" t="n">
        <v>22</v>
      </c>
      <c r="U1208" s="1">
        <f>ROUNDUP(901.64*(1-$F$3),2)</f>
        <v/>
      </c>
      <c r="V1208" s="1" t="n">
        <v>506</v>
      </c>
      <c r="Y1208" s="1" t="inlineStr">
        <is>
          <t>Темная суть</t>
        </is>
      </c>
      <c r="Z1208" s="1" t="inlineStr">
        <is>
          <t>18+</t>
        </is>
      </c>
      <c r="AA1208" s="12" t="n">
        <v>46176</v>
      </c>
      <c r="AB1208" s="1" t="inlineStr">
        <is>
          <t>Художественная литература</t>
        </is>
      </c>
      <c r="AC1208" s="1" t="inlineStr">
        <is>
          <t>Фантастика. Мистика. Ужасы</t>
        </is>
      </c>
      <c r="AD1208" s="1" t="inlineStr">
        <is>
          <t>Фэнтези</t>
        </is>
      </c>
      <c r="AE1208" s="1" t="inlineStr">
        <is>
          <t>офсетная</t>
        </is>
      </c>
      <c r="AG1208" s="1" t="n">
        <v>12144070</v>
      </c>
      <c r="AI1208" s="1" t="inlineStr">
        <is>
          <t>4901990000</t>
        </is>
      </c>
    </row>
    <row r="1209" customFormat="1" s="1">
      <c r="C1209" s="1" t="inlineStr">
        <is>
          <t xml:space="preserve">11540920            </t>
        </is>
      </c>
      <c r="E1209" s="1" t="inlineStr">
        <is>
          <t>Я знаю, что вы сделали прошлым летом. Дункан Л.</t>
        </is>
      </c>
      <c r="F1209" s="13" t="inlineStr">
        <is>
          <t>См.обл.</t>
        </is>
      </c>
      <c r="G1209" s="1" t="inlineStr">
        <is>
          <t>Дункан Л.</t>
        </is>
      </c>
      <c r="H1209" s="1" t="inlineStr">
        <is>
          <t>84х108/32</t>
        </is>
      </c>
      <c r="I1209" s="1" t="n">
        <v>272</v>
      </c>
      <c r="J1209" s="1" t="inlineStr">
        <is>
          <t>Дом историй</t>
        </is>
      </c>
      <c r="K1209" s="1" t="inlineStr">
        <is>
          <t>Эвербук</t>
        </is>
      </c>
      <c r="M1209" s="1" t="inlineStr">
        <is>
          <t>2023</t>
        </is>
      </c>
      <c r="N1209" s="1" t="inlineStr">
        <is>
          <t>О</t>
        </is>
      </c>
      <c r="O1209" s="9" t="n">
        <v>6</v>
      </c>
      <c r="P1209" s="1">
        <f>ROUNDUP(770*(1-$F$3),2)</f>
        <v/>
      </c>
      <c r="Q1209" s="1" t="inlineStr">
        <is>
          <t> </t>
        </is>
      </c>
      <c r="R1209" s="1" t="inlineStr">
        <is>
          <t>978-5-0058-0163-0</t>
        </is>
      </c>
      <c r="S1209" s="1" t="inlineStr">
        <is>
          <t>9785005801630</t>
        </is>
      </c>
      <c r="T1209" s="9" t="n">
        <v>10</v>
      </c>
      <c r="U1209" s="1">
        <f>ROUNDUP(700*(1-$F$3),2)</f>
        <v/>
      </c>
      <c r="V1209" s="1" t="n">
        <v>219</v>
      </c>
      <c r="Y1209" s="1" t="inlineStr">
        <is>
          <t>Я знаю, что вы сделали прошлым летом</t>
        </is>
      </c>
      <c r="Z1209" s="1" t="inlineStr">
        <is>
          <t>16+</t>
        </is>
      </c>
      <c r="AA1209" s="12" t="n">
        <v>45603</v>
      </c>
      <c r="AB1209" s="1" t="inlineStr">
        <is>
          <t>Художественная литература</t>
        </is>
      </c>
      <c r="AC1209" s="1" t="inlineStr">
        <is>
          <t>Детективы. Боевики. Триллеры</t>
        </is>
      </c>
      <c r="AD1209" s="1" t="inlineStr">
        <is>
          <t>Триллеры</t>
        </is>
      </c>
      <c r="AE1209" s="1" t="inlineStr">
        <is>
          <t>офсетная</t>
        </is>
      </c>
      <c r="AG1209" s="1" t="n">
        <v>11540920</v>
      </c>
      <c r="AI1209" s="1" t="inlineStr">
        <is>
          <t>4901990000</t>
        </is>
      </c>
      <c r="AJ1209" s="1" t="inlineStr">
        <is>
          <t>Зпв</t>
        </is>
      </c>
    </row>
    <row r="1210" customFormat="1" s="1">
      <c r="C1210" s="1" t="inlineStr">
        <is>
          <t xml:space="preserve">12196280            </t>
        </is>
      </c>
      <c r="D1210" s="1" t="inlineStr">
        <is>
          <t>Pocket&amp;Travel</t>
        </is>
      </c>
      <c r="E1210" s="1" t="inlineStr">
        <is>
          <t>Исповедь скучной тетки. Лавуа М.-Р.</t>
        </is>
      </c>
      <c r="F1210" s="13" t="inlineStr">
        <is>
          <t>См.обл.</t>
        </is>
      </c>
      <c r="G1210" s="1" t="inlineStr">
        <is>
          <t>Лавуа М.-Р.</t>
        </is>
      </c>
      <c r="H1210" s="1" t="inlineStr">
        <is>
          <t>76х100/32</t>
        </is>
      </c>
      <c r="I1210" s="1" t="n">
        <v>288</v>
      </c>
      <c r="J1210" s="1" t="inlineStr">
        <is>
          <t>Дом историй</t>
        </is>
      </c>
      <c r="K1210" s="1" t="inlineStr">
        <is>
          <t>Эвербук</t>
        </is>
      </c>
      <c r="M1210" s="1" t="inlineStr">
        <is>
          <t>2026</t>
        </is>
      </c>
      <c r="N1210" s="1" t="inlineStr">
        <is>
          <t>О</t>
        </is>
      </c>
      <c r="O1210" s="9" t="n">
        <v>10</v>
      </c>
      <c r="P1210" s="1">
        <f>ROUNDUP(550*(1-$F$3),2)</f>
        <v/>
      </c>
      <c r="Q1210" s="1" t="inlineStr">
        <is>
          <t> </t>
        </is>
      </c>
      <c r="R1210" s="1" t="inlineStr">
        <is>
          <t>978-5-0058-1158-5</t>
        </is>
      </c>
      <c r="S1210" s="1" t="inlineStr">
        <is>
          <t>9785005811585</t>
        </is>
      </c>
      <c r="T1210" s="9" t="n">
        <v>22</v>
      </c>
      <c r="U1210" s="1">
        <f>ROUNDUP(450.82*(1-$F$3),2)</f>
        <v/>
      </c>
      <c r="V1210" s="1" t="n">
        <v>147</v>
      </c>
      <c r="Y1210" s="1" t="inlineStr">
        <is>
          <t>Исповедь скучной тетки</t>
        </is>
      </c>
      <c r="Z1210" s="1" t="inlineStr">
        <is>
          <t>18+</t>
        </is>
      </c>
      <c r="AA1210" s="12" t="n">
        <v>46227</v>
      </c>
      <c r="AB1210" s="1" t="inlineStr">
        <is>
          <t>Художественная литература</t>
        </is>
      </c>
      <c r="AC1210" s="1" t="inlineStr">
        <is>
          <t>Зарубежная литература</t>
        </is>
      </c>
      <c r="AD1210" s="1" t="inlineStr">
        <is>
          <t>Европейская литература</t>
        </is>
      </c>
      <c r="AE1210" s="1" t="inlineStr">
        <is>
          <t>офсетная</t>
        </is>
      </c>
      <c r="AG1210" s="1" t="n">
        <v>12196280</v>
      </c>
      <c r="AI1210" s="1" t="inlineStr">
        <is>
          <t>4901990000</t>
        </is>
      </c>
    </row>
    <row r="1211" customFormat="1" s="1">
      <c r="C1211" s="1" t="inlineStr">
        <is>
          <t xml:space="preserve">12196290            </t>
        </is>
      </c>
      <c r="D1211" s="1" t="inlineStr">
        <is>
          <t>Pocket&amp;Travel</t>
        </is>
      </c>
      <c r="E1211" s="1" t="inlineStr">
        <is>
          <t>Лес. Тюльбашева С.</t>
        </is>
      </c>
      <c r="F1211" s="13" t="inlineStr">
        <is>
          <t>См.обл.</t>
        </is>
      </c>
      <c r="G1211" s="1" t="inlineStr">
        <is>
          <t>Тюльбашева С.</t>
        </is>
      </c>
      <c r="H1211" s="1" t="inlineStr">
        <is>
          <t>76х100/32</t>
        </is>
      </c>
      <c r="I1211" s="1" t="n">
        <v>384</v>
      </c>
      <c r="J1211" s="1" t="inlineStr">
        <is>
          <t>Дом историй</t>
        </is>
      </c>
      <c r="K1211" s="1" t="inlineStr">
        <is>
          <t>Эвербук</t>
        </is>
      </c>
      <c r="M1211" s="1" t="inlineStr">
        <is>
          <t>2026</t>
        </is>
      </c>
      <c r="N1211" s="1" t="inlineStr">
        <is>
          <t>О</t>
        </is>
      </c>
      <c r="O1211" s="9" t="n">
        <v>6</v>
      </c>
      <c r="P1211" s="1">
        <f>ROUNDUP(590*(1-$F$3),2)</f>
        <v/>
      </c>
      <c r="Q1211" s="1" t="inlineStr">
        <is>
          <t> </t>
        </is>
      </c>
      <c r="R1211" s="1" t="inlineStr">
        <is>
          <t>978-5-0058-1157-8</t>
        </is>
      </c>
      <c r="S1211" s="1" t="inlineStr">
        <is>
          <t>9785005811578</t>
        </is>
      </c>
      <c r="T1211" s="9" t="n">
        <v>10</v>
      </c>
      <c r="U1211" s="1">
        <f>ROUNDUP(536.36*(1-$F$3),2)</f>
        <v/>
      </c>
      <c r="V1211" s="1" t="n">
        <v>194</v>
      </c>
      <c r="Y1211" s="1" t="inlineStr">
        <is>
          <t>Лес</t>
        </is>
      </c>
      <c r="Z1211" s="1" t="inlineStr">
        <is>
          <t>16+</t>
        </is>
      </c>
      <c r="AA1211" s="12" t="n">
        <v>46227</v>
      </c>
      <c r="AB1211" s="1" t="inlineStr">
        <is>
          <t>Художественная литература</t>
        </is>
      </c>
      <c r="AC1211" s="1" t="inlineStr">
        <is>
          <t>Русская литература</t>
        </is>
      </c>
      <c r="AD1211" s="1" t="inlineStr">
        <is>
          <t>Современная литература</t>
        </is>
      </c>
      <c r="AE1211" s="1" t="inlineStr">
        <is>
          <t>офсетная</t>
        </is>
      </c>
      <c r="AG1211" s="1" t="n">
        <v>12196290</v>
      </c>
      <c r="AI1211" s="1" t="inlineStr">
        <is>
          <t>4901990000</t>
        </is>
      </c>
    </row>
    <row r="1212" customFormat="1" s="1">
      <c r="C1212" s="1" t="inlineStr">
        <is>
          <t xml:space="preserve">12196330            </t>
        </is>
      </c>
      <c r="D1212" s="1" t="inlineStr">
        <is>
          <t>Pocket&amp;Travel</t>
        </is>
      </c>
      <c r="E1212" s="1" t="inlineStr">
        <is>
          <t>Словно мы злодеи. Рио М.Л.</t>
        </is>
      </c>
      <c r="F1212" s="13" t="inlineStr">
        <is>
          <t>См.обл.</t>
        </is>
      </c>
      <c r="G1212" s="1" t="inlineStr">
        <is>
          <t>Рио М.Л.</t>
        </is>
      </c>
      <c r="H1212" s="1" t="inlineStr">
        <is>
          <t>76х100/32</t>
        </is>
      </c>
      <c r="I1212" s="1" t="n">
        <v>528</v>
      </c>
      <c r="J1212" s="1" t="inlineStr">
        <is>
          <t>Дом историй</t>
        </is>
      </c>
      <c r="K1212" s="1" t="inlineStr">
        <is>
          <t>Эвербук</t>
        </is>
      </c>
      <c r="M1212" s="1" t="inlineStr">
        <is>
          <t>2026</t>
        </is>
      </c>
      <c r="N1212" s="1" t="inlineStr">
        <is>
          <t>О</t>
        </is>
      </c>
      <c r="O1212" s="9" t="n">
        <v>6</v>
      </c>
      <c r="P1212" s="1">
        <f>ROUNDUP(590*(1-$F$3),2)</f>
        <v/>
      </c>
      <c r="Q1212" s="1" t="inlineStr">
        <is>
          <t> </t>
        </is>
      </c>
      <c r="R1212" s="1" t="inlineStr">
        <is>
          <t>978-5-0058-1161-5</t>
        </is>
      </c>
      <c r="S1212" s="1" t="inlineStr">
        <is>
          <t>9785005811615</t>
        </is>
      </c>
      <c r="T1212" s="9" t="n">
        <v>22</v>
      </c>
      <c r="U1212" s="1">
        <f>ROUNDUP(483.61*(1-$F$3),2)</f>
        <v/>
      </c>
      <c r="V1212" s="1" t="n">
        <v>249</v>
      </c>
      <c r="Y1212" s="1" t="inlineStr">
        <is>
          <t>Словно мы злодеи</t>
        </is>
      </c>
      <c r="Z1212" s="1" t="inlineStr">
        <is>
          <t>18+</t>
        </is>
      </c>
      <c r="AA1212" s="12" t="n">
        <v>46227</v>
      </c>
      <c r="AB1212" s="1" t="inlineStr">
        <is>
          <t>Художественная литература</t>
        </is>
      </c>
      <c r="AC1212" s="1" t="inlineStr">
        <is>
          <t>Детективы. Боевики. Триллеры</t>
        </is>
      </c>
      <c r="AD1212" s="1" t="inlineStr">
        <is>
          <t>Зарубежный детектив</t>
        </is>
      </c>
      <c r="AE1212" s="1" t="inlineStr">
        <is>
          <t>офсетная</t>
        </is>
      </c>
      <c r="AG1212" s="1" t="n">
        <v>12196330</v>
      </c>
      <c r="AI1212" s="1" t="inlineStr">
        <is>
          <t>4901990000</t>
        </is>
      </c>
      <c r="AJ1212" s="1" t="inlineStr">
        <is>
          <t>Зпв</t>
        </is>
      </c>
    </row>
    <row r="1213" customFormat="1" s="1">
      <c r="C1213" s="1" t="inlineStr">
        <is>
          <t xml:space="preserve">12196300            </t>
        </is>
      </c>
      <c r="D1213" s="1" t="inlineStr">
        <is>
          <t>Pocket&amp;Travel</t>
        </is>
      </c>
      <c r="E1213" s="1" t="inlineStr">
        <is>
          <t>Смерть сплетницы. Битон М.С.</t>
        </is>
      </c>
      <c r="F1213" s="13" t="inlineStr">
        <is>
          <t>См.обл.</t>
        </is>
      </c>
      <c r="G1213" s="1" t="inlineStr">
        <is>
          <t>Битон М.С.</t>
        </is>
      </c>
      <c r="H1213" s="1" t="inlineStr">
        <is>
          <t>76х100/32</t>
        </is>
      </c>
      <c r="I1213" s="1" t="n">
        <v>224</v>
      </c>
      <c r="J1213" s="1" t="inlineStr">
        <is>
          <t>Дом историй</t>
        </is>
      </c>
      <c r="K1213" s="1" t="inlineStr">
        <is>
          <t>Эвербук</t>
        </is>
      </c>
      <c r="M1213" s="1" t="inlineStr">
        <is>
          <t>2026</t>
        </is>
      </c>
      <c r="N1213" s="1" t="inlineStr">
        <is>
          <t>О</t>
        </is>
      </c>
      <c r="O1213" s="9" t="n">
        <v>10</v>
      </c>
      <c r="P1213" s="1">
        <f>ROUNDUP(550*(1-$F$3),2)</f>
        <v/>
      </c>
      <c r="Q1213" s="1" t="inlineStr">
        <is>
          <t> </t>
        </is>
      </c>
      <c r="R1213" s="1" t="inlineStr">
        <is>
          <t>978-5-0058-1159-2</t>
        </is>
      </c>
      <c r="S1213" s="1" t="inlineStr">
        <is>
          <t>9785005811592</t>
        </is>
      </c>
      <c r="T1213" s="9" t="n">
        <v>10</v>
      </c>
      <c r="U1213" s="1">
        <f>ROUNDUP(500*(1-$F$3),2)</f>
        <v/>
      </c>
      <c r="V1213" s="1" t="n">
        <v>118</v>
      </c>
      <c r="Y1213" s="1" t="inlineStr">
        <is>
          <t>Смерть сплетницы</t>
        </is>
      </c>
      <c r="Z1213" s="1" t="inlineStr">
        <is>
          <t>16+</t>
        </is>
      </c>
      <c r="AA1213" s="12" t="n">
        <v>46227</v>
      </c>
      <c r="AB1213" s="1" t="inlineStr">
        <is>
          <t>Художественная литература</t>
        </is>
      </c>
      <c r="AC1213" s="1" t="inlineStr">
        <is>
          <t>Детективы. Боевики. Триллеры</t>
        </is>
      </c>
      <c r="AD1213" s="1" t="inlineStr">
        <is>
          <t>Зарубежный детектив</t>
        </is>
      </c>
      <c r="AE1213" s="1" t="inlineStr">
        <is>
          <t>офсетная</t>
        </is>
      </c>
      <c r="AG1213" s="1" t="n">
        <v>12196300</v>
      </c>
      <c r="AI1213" s="1" t="inlineStr">
        <is>
          <t>4901990000</t>
        </is>
      </c>
    </row>
    <row r="1214" customFormat="1" s="1">
      <c r="C1214" s="1" t="inlineStr">
        <is>
          <t xml:space="preserve">12050580            </t>
        </is>
      </c>
      <c r="D1214" s="1" t="inlineStr">
        <is>
          <t>Антресоли: классика высшего уровня</t>
        </is>
      </c>
      <c r="E1214" s="1" t="inlineStr">
        <is>
          <t>Дом профессора. Кэсер У.С.</t>
        </is>
      </c>
      <c r="F1214" s="13" t="inlineStr">
        <is>
          <t>См.обл.</t>
        </is>
      </c>
      <c r="G1214" s="1" t="inlineStr">
        <is>
          <t>Кэсер У.С.</t>
        </is>
      </c>
      <c r="H1214" s="1" t="inlineStr">
        <is>
          <t>84х108/32</t>
        </is>
      </c>
      <c r="I1214" s="1" t="n">
        <v>272</v>
      </c>
      <c r="J1214" s="1" t="inlineStr">
        <is>
          <t>Дом историй</t>
        </is>
      </c>
      <c r="K1214" s="1" t="inlineStr">
        <is>
          <t>Эвербук</t>
        </is>
      </c>
      <c r="M1214" s="1" t="inlineStr">
        <is>
          <t>2026</t>
        </is>
      </c>
      <c r="N1214" s="1" t="inlineStr">
        <is>
          <t>П</t>
        </is>
      </c>
      <c r="O1214" s="9" t="n">
        <v>16</v>
      </c>
      <c r="P1214" s="1">
        <f>ROUNDUP(950*(1-$F$3),2)</f>
        <v/>
      </c>
      <c r="Q1214" s="1" t="inlineStr">
        <is>
          <t> </t>
        </is>
      </c>
      <c r="R1214" s="1" t="inlineStr">
        <is>
          <t>978-5-0058-1001-4</t>
        </is>
      </c>
      <c r="S1214" s="1" t="inlineStr">
        <is>
          <t>9785005810014</t>
        </is>
      </c>
      <c r="T1214" s="9" t="n">
        <v>10</v>
      </c>
      <c r="U1214" s="1">
        <f>ROUNDUP(863.64*(1-$F$3),2)</f>
        <v/>
      </c>
      <c r="V1214" s="1" t="n">
        <v>316</v>
      </c>
      <c r="Y1214" s="1" t="inlineStr">
        <is>
          <t>Дом профессора</t>
        </is>
      </c>
      <c r="Z1214" s="1" t="inlineStr">
        <is>
          <t>16+</t>
        </is>
      </c>
      <c r="AA1214" s="12" t="n">
        <v>46106</v>
      </c>
      <c r="AB1214" s="1" t="inlineStr">
        <is>
          <t>Художественная литература</t>
        </is>
      </c>
      <c r="AC1214" s="1" t="inlineStr">
        <is>
          <t>Зарубежная литература</t>
        </is>
      </c>
      <c r="AD1214" s="1" t="inlineStr">
        <is>
          <t>Литература Америки и Австралии</t>
        </is>
      </c>
      <c r="AE1214" s="1" t="inlineStr">
        <is>
          <t>офсетная</t>
        </is>
      </c>
      <c r="AG1214" s="1" t="n">
        <v>12050580</v>
      </c>
      <c r="AI1214" s="1" t="inlineStr">
        <is>
          <t>4901990000</t>
        </is>
      </c>
    </row>
    <row r="1215" customFormat="1" s="1">
      <c r="C1215" s="1" t="inlineStr">
        <is>
          <t xml:space="preserve">12120650            </t>
        </is>
      </c>
      <c r="D1215" s="1" t="inlineStr">
        <is>
          <t>Антресоли: классика высшего уровня</t>
        </is>
      </c>
      <c r="E1215" s="1" t="inlineStr">
        <is>
          <t>Край островерхих елей. Джуитт С.О</t>
        </is>
      </c>
      <c r="F1215" s="13" t="inlineStr">
        <is>
          <t>См.обл.</t>
        </is>
      </c>
      <c r="G1215" s="1" t="inlineStr">
        <is>
          <t>Джуитт С.О</t>
        </is>
      </c>
      <c r="H1215" s="1" t="inlineStr">
        <is>
          <t>84х108/32</t>
        </is>
      </c>
      <c r="I1215" s="1" t="n">
        <v>208</v>
      </c>
      <c r="J1215" s="1" t="inlineStr">
        <is>
          <t>Дом историй</t>
        </is>
      </c>
      <c r="K1215" s="1" t="inlineStr">
        <is>
          <t>Эвербук</t>
        </is>
      </c>
      <c r="M1215" s="1" t="inlineStr">
        <is>
          <t>2026</t>
        </is>
      </c>
      <c r="N1215" s="1" t="inlineStr">
        <is>
          <t>П</t>
        </is>
      </c>
      <c r="O1215" s="9" t="n">
        <v>12</v>
      </c>
      <c r="P1215" s="1">
        <f>ROUNDUP(950*(1-$F$3),2)</f>
        <v/>
      </c>
      <c r="Q1215" s="1" t="inlineStr">
        <is>
          <t> </t>
        </is>
      </c>
      <c r="R1215" s="1" t="inlineStr">
        <is>
          <t>978-5-0058-1126-4</t>
        </is>
      </c>
      <c r="S1215" s="1" t="inlineStr">
        <is>
          <t>9785005811264</t>
        </is>
      </c>
      <c r="T1215" s="9" t="n">
        <v>10</v>
      </c>
      <c r="U1215" s="1">
        <f>ROUNDUP(863.64*(1-$F$3),2)</f>
        <v/>
      </c>
      <c r="V1215" s="1" t="n">
        <v>309</v>
      </c>
      <c r="Y1215" s="1" t="inlineStr">
        <is>
          <t>Край островерхих елей</t>
        </is>
      </c>
      <c r="Z1215" s="1" t="inlineStr">
        <is>
          <t>16+</t>
        </is>
      </c>
      <c r="AA1215" s="12" t="n">
        <v>46175</v>
      </c>
      <c r="AB1215" s="1" t="inlineStr">
        <is>
          <t>Художественная литература</t>
        </is>
      </c>
      <c r="AC1215" s="1" t="inlineStr">
        <is>
          <t>Историческая проза</t>
        </is>
      </c>
      <c r="AD1215" s="1" t="inlineStr">
        <is>
          <t>Зарубежная историческая проза</t>
        </is>
      </c>
      <c r="AE1215" s="1" t="inlineStr">
        <is>
          <t>офсетная</t>
        </is>
      </c>
      <c r="AG1215" s="1" t="n">
        <v>12120650</v>
      </c>
      <c r="AI1215" s="1" t="inlineStr">
        <is>
          <t>4901990000</t>
        </is>
      </c>
    </row>
    <row r="1216" customFormat="1" s="1">
      <c r="C1216" s="1" t="inlineStr">
        <is>
          <t xml:space="preserve">12189340            </t>
        </is>
      </c>
      <c r="D1216" s="1" t="inlineStr">
        <is>
          <t>Антресоли: классика высшего уровня</t>
        </is>
      </c>
      <c r="E1216" s="1" t="inlineStr">
        <is>
          <t>Моя Антония. Кэсер У.С.</t>
        </is>
      </c>
      <c r="F1216" s="13" t="inlineStr">
        <is>
          <t>См.обл.</t>
        </is>
      </c>
      <c r="G1216" s="1" t="inlineStr">
        <is>
          <t>Кэсер У.С.</t>
        </is>
      </c>
      <c r="H1216" s="1" t="inlineStr">
        <is>
          <t>84х108/32</t>
        </is>
      </c>
      <c r="I1216" s="1" t="n">
        <v>368</v>
      </c>
      <c r="J1216" s="1" t="inlineStr">
        <is>
          <t>Дом историй</t>
        </is>
      </c>
      <c r="K1216" s="1" t="inlineStr">
        <is>
          <t>Эвербук</t>
        </is>
      </c>
      <c r="M1216" s="1" t="inlineStr">
        <is>
          <t>2026</t>
        </is>
      </c>
      <c r="N1216" s="1" t="inlineStr">
        <is>
          <t>П</t>
        </is>
      </c>
      <c r="O1216" s="9" t="n">
        <v>10</v>
      </c>
      <c r="P1216" s="1">
        <f>ROUNDUP(950*(1-$F$3),2)</f>
        <v/>
      </c>
      <c r="Q1216" s="1" t="inlineStr">
        <is>
          <t> </t>
        </is>
      </c>
      <c r="R1216" s="1" t="inlineStr">
        <is>
          <t>978-5-0058-1147-9</t>
        </is>
      </c>
      <c r="S1216" s="1" t="inlineStr">
        <is>
          <t>9785005811479</t>
        </is>
      </c>
      <c r="T1216" s="9" t="n">
        <v>22</v>
      </c>
      <c r="U1216" s="1">
        <f>ROUNDUP(778.69*(1-$F$3),2)</f>
        <v/>
      </c>
      <c r="V1216" s="1" t="n">
        <v>468</v>
      </c>
      <c r="Y1216" s="1" t="inlineStr">
        <is>
          <t>Моя Антония</t>
        </is>
      </c>
      <c r="Z1216" s="1" t="inlineStr">
        <is>
          <t>18+</t>
        </is>
      </c>
      <c r="AA1216" s="12" t="n">
        <v>46202</v>
      </c>
      <c r="AB1216" s="1" t="inlineStr">
        <is>
          <t>Художественная литература</t>
        </is>
      </c>
      <c r="AC1216" s="1" t="inlineStr">
        <is>
          <t>Зарубежная литература</t>
        </is>
      </c>
      <c r="AD1216" s="1" t="inlineStr">
        <is>
          <t>Литература Америки и Австралии</t>
        </is>
      </c>
      <c r="AE1216" s="1" t="inlineStr">
        <is>
          <t>офсетная</t>
        </is>
      </c>
      <c r="AG1216" s="1" t="n">
        <v>12189340</v>
      </c>
      <c r="AI1216" s="1" t="inlineStr">
        <is>
          <t>4901990000</t>
        </is>
      </c>
      <c r="AJ1216" s="1" t="inlineStr">
        <is>
          <t>Зпв</t>
        </is>
      </c>
    </row>
    <row r="1217" customFormat="1" s="1">
      <c r="C1217" s="1" t="inlineStr">
        <is>
          <t xml:space="preserve">11919820            </t>
        </is>
      </c>
      <c r="D1217" s="1" t="inlineStr">
        <is>
          <t>Антресоли: классика высшего уровня</t>
        </is>
      </c>
      <c r="E1217" s="1" t="inlineStr">
        <is>
          <t>О пионеры!. Кэсер У.С.</t>
        </is>
      </c>
      <c r="F1217" s="13" t="inlineStr">
        <is>
          <t>См.обл.</t>
        </is>
      </c>
      <c r="G1217" s="1" t="inlineStr">
        <is>
          <t>Кэсер У.С.</t>
        </is>
      </c>
      <c r="H1217" s="1" t="inlineStr">
        <is>
          <t>84х108/32</t>
        </is>
      </c>
      <c r="I1217" s="1" t="n">
        <v>320</v>
      </c>
      <c r="J1217" s="1" t="inlineStr">
        <is>
          <t>Дом историй</t>
        </is>
      </c>
      <c r="K1217" s="1" t="inlineStr">
        <is>
          <t>Эвербук</t>
        </is>
      </c>
      <c r="M1217" s="1" t="inlineStr">
        <is>
          <t>2026</t>
        </is>
      </c>
      <c r="N1217" s="1" t="inlineStr">
        <is>
          <t>П</t>
        </is>
      </c>
      <c r="O1217" s="9" t="n">
        <v>16</v>
      </c>
      <c r="P1217" s="1">
        <f>ROUNDUP(960*(1-$F$3),2)</f>
        <v/>
      </c>
      <c r="Q1217" s="1" t="inlineStr">
        <is>
          <t> </t>
        </is>
      </c>
      <c r="R1217" s="1" t="inlineStr">
        <is>
          <t>978-5-0058-0873-8</t>
        </is>
      </c>
      <c r="S1217" s="1" t="inlineStr">
        <is>
          <t>9785005808738</t>
        </is>
      </c>
      <c r="T1217" s="9" t="n">
        <v>10</v>
      </c>
      <c r="U1217" s="1">
        <f>ROUNDUP(872.73*(1-$F$3),2)</f>
        <v/>
      </c>
      <c r="V1217" s="1" t="n">
        <v>358</v>
      </c>
      <c r="Y1217" s="1" t="inlineStr">
        <is>
          <t>О пионеры!</t>
        </is>
      </c>
      <c r="Z1217" s="1" t="inlineStr">
        <is>
          <t>16+</t>
        </is>
      </c>
      <c r="AA1217" s="12" t="n">
        <v>45972</v>
      </c>
      <c r="AB1217" s="1" t="inlineStr">
        <is>
          <t>Художественная литература</t>
        </is>
      </c>
      <c r="AC1217" s="1" t="inlineStr">
        <is>
          <t>Зарубежная литература</t>
        </is>
      </c>
      <c r="AD1217" s="1" t="inlineStr">
        <is>
          <t>Литература Америки и Австралии</t>
        </is>
      </c>
      <c r="AE1217" s="1" t="inlineStr">
        <is>
          <t>офсетная</t>
        </is>
      </c>
      <c r="AG1217" s="1" t="n">
        <v>11919820</v>
      </c>
      <c r="AI1217" s="1" t="inlineStr">
        <is>
          <t>4901990000</t>
        </is>
      </c>
    </row>
    <row r="1218" customFormat="1" s="1">
      <c r="C1218" s="1" t="inlineStr">
        <is>
          <t xml:space="preserve">11708580            </t>
        </is>
      </c>
      <c r="D1218" s="1" t="inlineStr">
        <is>
          <t>Антресоли: классика высшего уровня</t>
        </is>
      </c>
      <c r="E1218" s="1" t="inlineStr">
        <is>
          <t>Песня жаворонка. Кэсер У.С</t>
        </is>
      </c>
      <c r="F1218" s="13" t="inlineStr">
        <is>
          <t>См.обл.</t>
        </is>
      </c>
      <c r="G1218" s="1" t="inlineStr">
        <is>
          <t>Кэсер У.С</t>
        </is>
      </c>
      <c r="H1218" s="1" t="inlineStr">
        <is>
          <t>84х108/32</t>
        </is>
      </c>
      <c r="I1218" s="1" t="n">
        <v>640</v>
      </c>
      <c r="J1218" s="1" t="inlineStr">
        <is>
          <t>Дом историй</t>
        </is>
      </c>
      <c r="K1218" s="1" t="inlineStr">
        <is>
          <t>Эвербук</t>
        </is>
      </c>
      <c r="M1218" s="1" t="inlineStr">
        <is>
          <t>2025</t>
        </is>
      </c>
      <c r="N1218" s="1" t="inlineStr">
        <is>
          <t>П</t>
        </is>
      </c>
      <c r="O1218" s="9" t="n">
        <v>6</v>
      </c>
      <c r="P1218" s="1">
        <f>ROUNDUP(1520*(1-$F$3),2)</f>
        <v/>
      </c>
      <c r="Q1218" s="1" t="inlineStr">
        <is>
          <t> </t>
        </is>
      </c>
      <c r="R1218" s="1" t="inlineStr">
        <is>
          <t>978-5-0058-0648-2</t>
        </is>
      </c>
      <c r="S1218" s="1" t="inlineStr">
        <is>
          <t>9785005806482</t>
        </is>
      </c>
      <c r="T1218" s="9" t="n">
        <v>10</v>
      </c>
      <c r="U1218" s="1">
        <f>ROUNDUP(1381.82*(1-$F$3),2)</f>
        <v/>
      </c>
      <c r="V1218" s="1" t="n">
        <v>641</v>
      </c>
      <c r="Y1218" s="1" t="inlineStr">
        <is>
          <t>Песня жаворонка</t>
        </is>
      </c>
      <c r="Z1218" s="1" t="inlineStr">
        <is>
          <t>16+</t>
        </is>
      </c>
      <c r="AA1218" s="12" t="n">
        <v>45791</v>
      </c>
      <c r="AB1218" s="1" t="inlineStr">
        <is>
          <t>Художественная литература</t>
        </is>
      </c>
      <c r="AC1218" s="1" t="inlineStr">
        <is>
          <t>Зарубежная литература</t>
        </is>
      </c>
      <c r="AD1218" s="1" t="inlineStr">
        <is>
          <t>Литература Америки и Австралии</t>
        </is>
      </c>
      <c r="AE1218" s="1" t="inlineStr">
        <is>
          <t>офсетная</t>
        </is>
      </c>
      <c r="AG1218" s="1" t="n">
        <v>11708580</v>
      </c>
      <c r="AI1218" s="1" t="inlineStr">
        <is>
          <t>4901990000</t>
        </is>
      </c>
    </row>
    <row r="1219" customFormat="1" s="11">
      <c r="A1219" s="11" t="inlineStr">
        <is>
          <t>нов</t>
        </is>
      </c>
      <c r="C1219" s="11" t="inlineStr">
        <is>
          <t xml:space="preserve">12257550            </t>
        </is>
      </c>
      <c r="D1219" s="11" t="inlineStr">
        <is>
          <t>Антресоли: классика высшего уровня</t>
        </is>
      </c>
      <c r="E1219" s="11" t="inlineStr">
        <is>
          <t>Улица литераторов. Гиссинг Дж.</t>
        </is>
      </c>
      <c r="F1219" s="14" t="inlineStr">
        <is>
          <t>См.обл.</t>
        </is>
      </c>
      <c r="G1219" s="11" t="inlineStr">
        <is>
          <t>Гиссинг Дж.</t>
        </is>
      </c>
      <c r="H1219" s="11" t="inlineStr">
        <is>
          <t>60х90/16</t>
        </is>
      </c>
      <c r="I1219" s="11" t="n">
        <v>688</v>
      </c>
      <c r="J1219" s="11" t="inlineStr">
        <is>
          <t>Дом историй</t>
        </is>
      </c>
      <c r="K1219" s="11" t="inlineStr">
        <is>
          <t>Эвербук</t>
        </is>
      </c>
      <c r="M1219" s="11" t="inlineStr">
        <is>
          <t>2026</t>
        </is>
      </c>
      <c r="N1219" s="11" t="inlineStr">
        <is>
          <t>П</t>
        </is>
      </c>
      <c r="O1219" s="26" t="n">
        <v>6</v>
      </c>
      <c r="P1219" s="11">
        <f>ROUNDUP(1450*(1-$F$3),2)</f>
        <v/>
      </c>
      <c r="Q1219" s="11" t="inlineStr">
        <is>
          <t> </t>
        </is>
      </c>
      <c r="R1219" s="11" t="inlineStr">
        <is>
          <t>978-5-0058-1164-6</t>
        </is>
      </c>
      <c r="S1219" s="11" t="inlineStr">
        <is>
          <t>9785005811646</t>
        </is>
      </c>
      <c r="T1219" s="26" t="n">
        <v>10</v>
      </c>
      <c r="U1219" s="11">
        <f>ROUNDUP(1318.18*(1-$F$3),2)</f>
        <v/>
      </c>
      <c r="V1219" s="11" t="n">
        <v>769</v>
      </c>
      <c r="Y1219" s="11" t="inlineStr">
        <is>
          <t>Улица литераторов</t>
        </is>
      </c>
      <c r="Z1219" s="11" t="inlineStr">
        <is>
          <t>16+</t>
        </is>
      </c>
      <c r="AA1219" s="15" t="n">
        <v>46268</v>
      </c>
      <c r="AB1219" s="11" t="inlineStr">
        <is>
          <t>Художественная литература</t>
        </is>
      </c>
      <c r="AC1219" s="11" t="inlineStr">
        <is>
          <t>Зарубежная литература</t>
        </is>
      </c>
      <c r="AD1219" s="11" t="inlineStr">
        <is>
          <t>Европейская литература</t>
        </is>
      </c>
      <c r="AE1219" s="11" t="inlineStr">
        <is>
          <t>офсетная</t>
        </is>
      </c>
      <c r="AG1219" s="11" t="n">
        <v>12257550</v>
      </c>
      <c r="AI1219" s="11" t="inlineStr">
        <is>
          <t>4901990000</t>
        </is>
      </c>
    </row>
    <row r="1220" customFormat="1" s="1">
      <c r="C1220" s="1" t="inlineStr">
        <is>
          <t xml:space="preserve">11540840            </t>
        </is>
      </c>
      <c r="D1220" s="1" t="inlineStr">
        <is>
          <t>Блэк-Рок-Фоллз</t>
        </is>
      </c>
      <c r="E1220" s="1" t="inlineStr">
        <is>
          <t>Кровавое ранчо. Худ Д.К.</t>
        </is>
      </c>
      <c r="F1220" s="13" t="inlineStr">
        <is>
          <t>См.обл.</t>
        </is>
      </c>
      <c r="G1220" s="1" t="inlineStr">
        <is>
          <t>Худ Д.К.</t>
        </is>
      </c>
      <c r="H1220" s="1" t="inlineStr">
        <is>
          <t>84х108/32</t>
        </is>
      </c>
      <c r="I1220" s="1" t="n">
        <v>368</v>
      </c>
      <c r="J1220" s="1" t="inlineStr">
        <is>
          <t>Дом историй</t>
        </is>
      </c>
      <c r="K1220" s="1" t="inlineStr">
        <is>
          <t>Эвербук</t>
        </is>
      </c>
      <c r="M1220" s="1" t="inlineStr">
        <is>
          <t>2023</t>
        </is>
      </c>
      <c r="N1220" s="1" t="inlineStr">
        <is>
          <t>П</t>
        </is>
      </c>
      <c r="O1220" s="9" t="n">
        <v>14</v>
      </c>
      <c r="P1220" s="1">
        <f>ROUNDUP(1650*(1-$F$3),2)</f>
        <v/>
      </c>
      <c r="Q1220" s="1" t="inlineStr">
        <is>
          <t> </t>
        </is>
      </c>
      <c r="R1220" s="1" t="inlineStr">
        <is>
          <t>978-5-0058-0069-5</t>
        </is>
      </c>
      <c r="S1220" s="1" t="inlineStr">
        <is>
          <t>9785005800695</t>
        </is>
      </c>
      <c r="T1220" s="9" t="n">
        <v>22</v>
      </c>
      <c r="U1220" s="1">
        <f>ROUNDUP(1352.46*(1-$F$3),2)</f>
        <v/>
      </c>
      <c r="V1220" s="1" t="n">
        <v>392</v>
      </c>
      <c r="Y1220" s="1" t="inlineStr">
        <is>
          <t>Кровавое ранчо</t>
        </is>
      </c>
      <c r="Z1220" s="1" t="inlineStr">
        <is>
          <t>18+</t>
        </is>
      </c>
      <c r="AA1220" s="12" t="n">
        <v>45603</v>
      </c>
      <c r="AB1220" s="1" t="inlineStr">
        <is>
          <t>Художественная литература</t>
        </is>
      </c>
      <c r="AC1220" s="1" t="inlineStr">
        <is>
          <t>Детективы. Боевики. Триллеры</t>
        </is>
      </c>
      <c r="AD1220" s="1" t="inlineStr">
        <is>
          <t>Триллеры</t>
        </is>
      </c>
      <c r="AE1220" s="1" t="inlineStr">
        <is>
          <t>офсетная</t>
        </is>
      </c>
      <c r="AG1220" s="1" t="n">
        <v>11540840</v>
      </c>
      <c r="AI1220" s="1" t="inlineStr">
        <is>
          <t>4901990000</t>
        </is>
      </c>
      <c r="AJ1220" s="1" t="inlineStr">
        <is>
          <t>Зпв</t>
        </is>
      </c>
    </row>
    <row r="1221" customFormat="1" s="1">
      <c r="C1221" s="1" t="inlineStr">
        <is>
          <t xml:space="preserve">11541010            </t>
        </is>
      </c>
      <c r="D1221" s="1" t="inlineStr">
        <is>
          <t>Блэк-Рок-Фоллз</t>
        </is>
      </c>
      <c r="E1221" s="1" t="inlineStr">
        <is>
          <t>Кровавое ранчо; Мертвые цветы (комплект из 2-х книг). Худ Д.К.</t>
        </is>
      </c>
      <c r="F1221" s="13" t="inlineStr">
        <is>
          <t>См.обл.</t>
        </is>
      </c>
      <c r="G1221" s="1" t="inlineStr">
        <is>
          <t>Худ Д.К.</t>
        </is>
      </c>
      <c r="H1221" s="1" t="inlineStr">
        <is>
          <t>84х108/32</t>
        </is>
      </c>
      <c r="I1221" s="1" t="n">
        <v>704</v>
      </c>
      <c r="J1221" s="1" t="inlineStr">
        <is>
          <t>Дом историй</t>
        </is>
      </c>
      <c r="K1221" s="1" t="inlineStr">
        <is>
          <t>Эвербук</t>
        </is>
      </c>
      <c r="M1221" s="1" t="inlineStr">
        <is>
          <t>2023</t>
        </is>
      </c>
      <c r="N1221" s="1" t="inlineStr">
        <is>
          <t>П</t>
        </is>
      </c>
      <c r="O1221" s="9" t="n"/>
      <c r="P1221" s="1">
        <f>ROUNDUP(2080*(1-$F$3),2)</f>
        <v/>
      </c>
      <c r="Q1221" s="1" t="inlineStr">
        <is>
          <t> </t>
        </is>
      </c>
      <c r="R1221" s="1" t="inlineStr">
        <is>
          <t>978-5-521-80819-9</t>
        </is>
      </c>
      <c r="S1221" s="1" t="inlineStr">
        <is>
          <t>9785521808199</t>
        </is>
      </c>
      <c r="T1221" s="9" t="n">
        <v>22</v>
      </c>
      <c r="U1221" s="1">
        <f>ROUNDUP(1704.92*(1-$F$3),2)</f>
        <v/>
      </c>
      <c r="V1221" s="1" t="n">
        <v>663</v>
      </c>
      <c r="Y1221" s="1" t="inlineStr">
        <is>
          <t>Кровавое ранчо; Мертвые цветы (комплект из 2-х книг)</t>
        </is>
      </c>
      <c r="Z1221" s="1" t="inlineStr">
        <is>
          <t>18+</t>
        </is>
      </c>
      <c r="AA1221" s="12" t="n">
        <v>45603</v>
      </c>
      <c r="AB1221" s="1" t="inlineStr">
        <is>
          <t>Художественная литература</t>
        </is>
      </c>
      <c r="AC1221" s="1" t="inlineStr">
        <is>
          <t>Детективы. Боевики. Триллеры</t>
        </is>
      </c>
      <c r="AD1221" s="1" t="inlineStr">
        <is>
          <t>Триллеры</t>
        </is>
      </c>
      <c r="AE1221" s="1" t="inlineStr">
        <is>
          <t>офсетная</t>
        </is>
      </c>
      <c r="AG1221" s="1" t="n">
        <v>11541010</v>
      </c>
      <c r="AI1221" s="1" t="inlineStr">
        <is>
          <t>4901990000</t>
        </is>
      </c>
      <c r="AJ1221" s="1" t="inlineStr">
        <is>
          <t>Зпв</t>
        </is>
      </c>
    </row>
    <row r="1222" customFormat="1" s="1">
      <c r="C1222" s="1" t="inlineStr">
        <is>
          <t xml:space="preserve">11540930            </t>
        </is>
      </c>
      <c r="D1222" s="1" t="inlineStr">
        <is>
          <t>Блэк-Рок-Фоллз</t>
        </is>
      </c>
      <c r="E1222" s="1" t="inlineStr">
        <is>
          <t>Мертвые цветы. Худ Д.К.</t>
        </is>
      </c>
      <c r="F1222" s="13" t="inlineStr">
        <is>
          <t>См.обл.</t>
        </is>
      </c>
      <c r="G1222" s="1" t="inlineStr">
        <is>
          <t>Худ Д.К.</t>
        </is>
      </c>
      <c r="H1222" s="1" t="inlineStr">
        <is>
          <t>84х108/32</t>
        </is>
      </c>
      <c r="I1222" s="1" t="n">
        <v>336</v>
      </c>
      <c r="J1222" s="1" t="inlineStr">
        <is>
          <t>Дом историй</t>
        </is>
      </c>
      <c r="K1222" s="1" t="inlineStr">
        <is>
          <t>Эвербук</t>
        </is>
      </c>
      <c r="M1222" s="1" t="inlineStr">
        <is>
          <t>2023</t>
        </is>
      </c>
      <c r="N1222" s="1" t="inlineStr">
        <is>
          <t>О</t>
        </is>
      </c>
      <c r="O1222" s="9" t="n">
        <v>5</v>
      </c>
      <c r="P1222" s="1">
        <f>ROUNDUP(820*(1-$F$3),2)</f>
        <v/>
      </c>
      <c r="Q1222" s="1" t="inlineStr">
        <is>
          <t> </t>
        </is>
      </c>
      <c r="R1222" s="1" t="inlineStr">
        <is>
          <t>978-5-0058-0161-6</t>
        </is>
      </c>
      <c r="S1222" s="1" t="inlineStr">
        <is>
          <t>9785005801616</t>
        </is>
      </c>
      <c r="T1222" s="9" t="n">
        <v>22</v>
      </c>
      <c r="U1222" s="1">
        <f>ROUNDUP(672.13*(1-$F$3),2)</f>
        <v/>
      </c>
      <c r="V1222" s="1" t="n">
        <v>271</v>
      </c>
      <c r="Y1222" s="1" t="inlineStr">
        <is>
          <t>Мертвые цветы</t>
        </is>
      </c>
      <c r="Z1222" s="1" t="inlineStr">
        <is>
          <t>18+</t>
        </is>
      </c>
      <c r="AA1222" s="12" t="n">
        <v>45603</v>
      </c>
      <c r="AB1222" s="1" t="inlineStr">
        <is>
          <t>Художественная литература</t>
        </is>
      </c>
      <c r="AC1222" s="1" t="inlineStr">
        <is>
          <t>Детективы. Боевики. Триллеры</t>
        </is>
      </c>
      <c r="AD1222" s="1" t="inlineStr">
        <is>
          <t>Триллеры</t>
        </is>
      </c>
      <c r="AE1222" s="1" t="inlineStr">
        <is>
          <t>офсетная</t>
        </is>
      </c>
      <c r="AG1222" s="1" t="n">
        <v>11540930</v>
      </c>
      <c r="AI1222" s="1" t="inlineStr">
        <is>
          <t>4901990000</t>
        </is>
      </c>
    </row>
    <row r="1223" customFormat="1" s="1">
      <c r="C1223" s="1" t="inlineStr">
        <is>
          <t xml:space="preserve">11541250            </t>
        </is>
      </c>
      <c r="D1223" s="1" t="inlineStr">
        <is>
          <t>Блэк-Рок-Фоллз</t>
        </is>
      </c>
      <c r="E1223" s="1" t="inlineStr">
        <is>
          <t>Смертельное свидание. Худ Д.К.</t>
        </is>
      </c>
      <c r="F1223" s="13" t="inlineStr">
        <is>
          <t>См.обл.</t>
        </is>
      </c>
      <c r="G1223" s="1" t="inlineStr">
        <is>
          <t>Худ Д.К.</t>
        </is>
      </c>
      <c r="H1223" s="1" t="inlineStr">
        <is>
          <t>84х108/32</t>
        </is>
      </c>
      <c r="I1223" s="1" t="n">
        <v>352</v>
      </c>
      <c r="J1223" s="1" t="inlineStr">
        <is>
          <t>Дом историй</t>
        </is>
      </c>
      <c r="K1223" s="1" t="inlineStr">
        <is>
          <t>Эвербук</t>
        </is>
      </c>
      <c r="M1223" s="1" t="inlineStr">
        <is>
          <t>2024</t>
        </is>
      </c>
      <c r="N1223" s="1" t="inlineStr">
        <is>
          <t>О</t>
        </is>
      </c>
      <c r="O1223" s="9" t="n">
        <v>14</v>
      </c>
      <c r="P1223" s="1">
        <f>ROUNDUP(840*(1-$F$3),2)</f>
        <v/>
      </c>
      <c r="Q1223" s="1" t="inlineStr">
        <is>
          <t> </t>
        </is>
      </c>
      <c r="R1223" s="1" t="inlineStr">
        <is>
          <t>978-5-0058-0370-2</t>
        </is>
      </c>
      <c r="S1223" s="1" t="inlineStr">
        <is>
          <t>9785005803702</t>
        </is>
      </c>
      <c r="T1223" s="9" t="n">
        <v>22</v>
      </c>
      <c r="U1223" s="1">
        <f>ROUNDUP(688.52*(1-$F$3),2)</f>
        <v/>
      </c>
      <c r="V1223" s="1" t="n">
        <v>276</v>
      </c>
      <c r="Y1223" s="1" t="inlineStr">
        <is>
          <t>Смертельное свидание</t>
        </is>
      </c>
      <c r="Z1223" s="1" t="inlineStr">
        <is>
          <t>18+</t>
        </is>
      </c>
      <c r="AA1223" s="12" t="n">
        <v>45603</v>
      </c>
      <c r="AB1223" s="1" t="inlineStr">
        <is>
          <t>Художественная литература</t>
        </is>
      </c>
      <c r="AC1223" s="1" t="inlineStr">
        <is>
          <t>Детективы. Боевики. Триллеры</t>
        </is>
      </c>
      <c r="AD1223" s="1" t="inlineStr">
        <is>
          <t>Триллеры</t>
        </is>
      </c>
      <c r="AE1223" s="1" t="inlineStr">
        <is>
          <t>офсетная</t>
        </is>
      </c>
      <c r="AG1223" s="1" t="n">
        <v>11541250</v>
      </c>
      <c r="AI1223" s="1" t="inlineStr">
        <is>
          <t>4901990000</t>
        </is>
      </c>
      <c r="AJ1223" s="1" t="inlineStr">
        <is>
          <t>Зпв</t>
        </is>
      </c>
    </row>
    <row r="1224" customFormat="1" s="1">
      <c r="C1224" s="1" t="inlineStr">
        <is>
          <t xml:space="preserve">11930690            </t>
        </is>
      </c>
      <c r="D1224" s="1" t="inlineStr">
        <is>
          <t>Борьба за корону</t>
        </is>
      </c>
      <c r="E1224" s="1" t="inlineStr">
        <is>
          <t>Борьба за корону: Зимние странники. Клементс Т</t>
        </is>
      </c>
      <c r="F1224" s="13" t="inlineStr">
        <is>
          <t>См.обл.</t>
        </is>
      </c>
      <c r="G1224" s="1" t="inlineStr">
        <is>
          <t>Клементс Т</t>
        </is>
      </c>
      <c r="H1224" s="1" t="inlineStr">
        <is>
          <t>60х90/16</t>
        </is>
      </c>
      <c r="I1224" s="1" t="n">
        <v>608</v>
      </c>
      <c r="J1224" s="1" t="inlineStr">
        <is>
          <t>Дом историй</t>
        </is>
      </c>
      <c r="K1224" s="1" t="inlineStr">
        <is>
          <t>Эвербук</t>
        </is>
      </c>
      <c r="M1224" s="1" t="inlineStr">
        <is>
          <t>2026</t>
        </is>
      </c>
      <c r="N1224" s="1" t="inlineStr">
        <is>
          <t>П</t>
        </is>
      </c>
      <c r="O1224" s="9" t="n">
        <v>8</v>
      </c>
      <c r="P1224" s="1">
        <f>ROUNDUP(1300*(1-$F$3),2)</f>
        <v/>
      </c>
      <c r="Q1224" s="1" t="inlineStr">
        <is>
          <t> </t>
        </is>
      </c>
      <c r="R1224" s="1" t="inlineStr">
        <is>
          <t>978-5-0058-0944-5</t>
        </is>
      </c>
      <c r="S1224" s="1" t="inlineStr">
        <is>
          <t>9785005809445</t>
        </is>
      </c>
      <c r="T1224" s="9" t="n">
        <v>22</v>
      </c>
      <c r="U1224" s="1">
        <f>ROUNDUP(1065.57*(1-$F$3),2)</f>
        <v/>
      </c>
      <c r="V1224" s="1" t="n">
        <v>636</v>
      </c>
      <c r="Y1224" s="1" t="inlineStr">
        <is>
          <t>Борьба за корону: Зимние странники</t>
        </is>
      </c>
      <c r="Z1224" s="1" t="inlineStr">
        <is>
          <t>18+</t>
        </is>
      </c>
      <c r="AA1224" s="12" t="n">
        <v>45977</v>
      </c>
      <c r="AB1224" s="1" t="inlineStr">
        <is>
          <t>Художественная литература</t>
        </is>
      </c>
      <c r="AC1224" s="1" t="inlineStr">
        <is>
          <t>Историческая проза</t>
        </is>
      </c>
      <c r="AD1224" s="1" t="inlineStr">
        <is>
          <t>Зарубежная историческая проза</t>
        </is>
      </c>
      <c r="AE1224" s="1" t="inlineStr">
        <is>
          <t>офсетная</t>
        </is>
      </c>
      <c r="AG1224" s="1" t="n">
        <v>11930690</v>
      </c>
      <c r="AI1224" s="1" t="inlineStr">
        <is>
          <t>4901990000</t>
        </is>
      </c>
    </row>
    <row r="1225" customFormat="1" s="1">
      <c r="C1225" s="1" t="inlineStr">
        <is>
          <t xml:space="preserve">11541340            </t>
        </is>
      </c>
      <c r="D1225" s="1" t="inlineStr">
        <is>
          <t>Галерея: семейные саги</t>
        </is>
      </c>
      <c r="E1225" s="1" t="inlineStr">
        <is>
          <t>Десять поколений. Арфуди Б.</t>
        </is>
      </c>
      <c r="F1225" s="13" t="inlineStr">
        <is>
          <t>См.обл.</t>
        </is>
      </c>
      <c r="G1225" s="1" t="inlineStr">
        <is>
          <t>Арфуди Б.</t>
        </is>
      </c>
      <c r="H1225" s="1" t="inlineStr">
        <is>
          <t>84х108/32</t>
        </is>
      </c>
      <c r="I1225" s="1" t="n">
        <v>320</v>
      </c>
      <c r="J1225" s="1" t="inlineStr">
        <is>
          <t>Дом историй</t>
        </is>
      </c>
      <c r="K1225" s="1" t="inlineStr">
        <is>
          <t>Эвербук</t>
        </is>
      </c>
      <c r="M1225" s="1" t="inlineStr">
        <is>
          <t>2026</t>
        </is>
      </c>
      <c r="N1225" s="1" t="inlineStr">
        <is>
          <t>П</t>
        </is>
      </c>
      <c r="O1225" s="9" t="n">
        <v>10</v>
      </c>
      <c r="P1225" s="1">
        <f>ROUNDUP(1040*(1-$F$3),2)</f>
        <v/>
      </c>
      <c r="Q1225" s="1" t="inlineStr">
        <is>
          <t> </t>
        </is>
      </c>
      <c r="R1225" s="1" t="inlineStr">
        <is>
          <t>978-5-0058-0447-1</t>
        </is>
      </c>
      <c r="S1225" s="1" t="inlineStr">
        <is>
          <t>9785005804471</t>
        </is>
      </c>
      <c r="T1225" s="9" t="n">
        <v>10</v>
      </c>
      <c r="U1225" s="1">
        <f>ROUNDUP(945.45*(1-$F$3),2)</f>
        <v/>
      </c>
      <c r="V1225" s="1" t="n">
        <v>369</v>
      </c>
      <c r="Y1225" s="1" t="inlineStr">
        <is>
          <t>Десять поколений</t>
        </is>
      </c>
      <c r="Z1225" s="1" t="inlineStr">
        <is>
          <t>16+</t>
        </is>
      </c>
      <c r="AA1225" s="12" t="n">
        <v>45603</v>
      </c>
      <c r="AB1225" s="1" t="inlineStr">
        <is>
          <t>Художественная литература</t>
        </is>
      </c>
      <c r="AC1225" s="1" t="inlineStr">
        <is>
          <t>Русская литература</t>
        </is>
      </c>
      <c r="AD1225" s="1" t="inlineStr">
        <is>
          <t>Современная литература</t>
        </is>
      </c>
      <c r="AE1225" s="1" t="inlineStr">
        <is>
          <t>офсетная</t>
        </is>
      </c>
      <c r="AG1225" s="1" t="n">
        <v>11541340</v>
      </c>
      <c r="AI1225" s="1" t="inlineStr">
        <is>
          <t>4901990000</t>
        </is>
      </c>
    </row>
    <row r="1226" customFormat="1" s="1">
      <c r="C1226" s="1" t="inlineStr">
        <is>
          <t>12148250</t>
        </is>
      </c>
      <c r="D1226" s="1" t="inlineStr">
        <is>
          <t>Галерея: семейные саги</t>
        </is>
      </c>
      <c r="E1226" s="1" t="inlineStr">
        <is>
          <t>Дом парфюмера. Книга извечных ценностей. Малхотра А.</t>
        </is>
      </c>
      <c r="F1226" s="13" t="inlineStr">
        <is>
          <t>См.обл.</t>
        </is>
      </c>
      <c r="G1226" s="1" t="inlineStr">
        <is>
          <t>Малхотра А.</t>
        </is>
      </c>
      <c r="H1226" s="1" t="inlineStr">
        <is>
          <t>60х90/16</t>
        </is>
      </c>
      <c r="I1226" s="1" t="n">
        <v>624</v>
      </c>
      <c r="J1226" s="1" t="inlineStr">
        <is>
          <t>Дом историй</t>
        </is>
      </c>
      <c r="K1226" s="1" t="inlineStr">
        <is>
          <t>Эвербук</t>
        </is>
      </c>
      <c r="M1226" s="1" t="inlineStr">
        <is>
          <t>2026</t>
        </is>
      </c>
      <c r="N1226" s="1" t="inlineStr">
        <is>
          <t>П</t>
        </is>
      </c>
      <c r="O1226" s="9" t="n">
        <v>8</v>
      </c>
      <c r="P1226" s="1">
        <f>ROUNDUP(1390*(1-$F$3),2)</f>
        <v/>
      </c>
      <c r="Q1226" s="1" t="inlineStr">
        <is>
          <t> </t>
        </is>
      </c>
      <c r="R1226" s="1" t="inlineStr">
        <is>
          <t>978-5-0058-1129-5</t>
        </is>
      </c>
      <c r="S1226" s="1" t="inlineStr">
        <is>
          <t>9785005811295</t>
        </is>
      </c>
      <c r="T1226" s="9" t="n">
        <v>10</v>
      </c>
      <c r="U1226" s="1">
        <f>ROUNDUP(1263.64*(1-$F$3),2)</f>
        <v/>
      </c>
      <c r="V1226" s="1" t="n">
        <v>735</v>
      </c>
      <c r="Y1226" s="1" t="inlineStr">
        <is>
          <t>Дом парфюмера. Книга извечных ценностей</t>
        </is>
      </c>
      <c r="Z1226" s="1" t="inlineStr">
        <is>
          <t>16+</t>
        </is>
      </c>
      <c r="AA1226" s="12" t="n">
        <v>46196</v>
      </c>
      <c r="AB1226" s="1" t="inlineStr">
        <is>
          <t>Художественная литература</t>
        </is>
      </c>
      <c r="AC1226" s="1" t="inlineStr">
        <is>
          <t>Зарубежная литература</t>
        </is>
      </c>
      <c r="AD1226" s="1" t="inlineStr">
        <is>
          <t>Литература стран Азии и Африки</t>
        </is>
      </c>
      <c r="AE1226" s="1" t="inlineStr">
        <is>
          <t>офсетная</t>
        </is>
      </c>
      <c r="AG1226" s="1" t="n">
        <v>12148250</v>
      </c>
      <c r="AI1226" s="1" t="inlineStr">
        <is>
          <t>4901990000</t>
        </is>
      </c>
    </row>
    <row r="1227" customFormat="1" s="1">
      <c r="C1227" s="1" t="inlineStr">
        <is>
          <t xml:space="preserve">12015850            </t>
        </is>
      </c>
      <c r="D1227" s="1" t="inlineStr">
        <is>
          <t>Галерея: семейные саги</t>
        </is>
      </c>
      <c r="E1227" s="1" t="inlineStr">
        <is>
          <t>Книга извечных ценностей. Малхотра А.</t>
        </is>
      </c>
      <c r="F1227" s="13" t="inlineStr">
        <is>
          <t>См.обл.</t>
        </is>
      </c>
      <c r="G1227" s="1" t="inlineStr">
        <is>
          <t>Малхотра А.</t>
        </is>
      </c>
      <c r="H1227" s="1" t="inlineStr">
        <is>
          <t>60х90/16</t>
        </is>
      </c>
      <c r="I1227" s="1" t="n">
        <v>624</v>
      </c>
      <c r="J1227" s="1" t="inlineStr">
        <is>
          <t>Дом историй</t>
        </is>
      </c>
      <c r="K1227" s="1" t="inlineStr">
        <is>
          <t>Эвербук</t>
        </is>
      </c>
      <c r="M1227" s="1" t="inlineStr">
        <is>
          <t>2026</t>
        </is>
      </c>
      <c r="N1227" s="1" t="inlineStr">
        <is>
          <t>П</t>
        </is>
      </c>
      <c r="O1227" s="9" t="n">
        <v>8</v>
      </c>
      <c r="P1227" s="1">
        <f>ROUNDUP(1390*(1-$F$3),2)</f>
        <v/>
      </c>
      <c r="Q1227" s="1" t="inlineStr">
        <is>
          <t> </t>
        </is>
      </c>
      <c r="R1227" s="1" t="inlineStr">
        <is>
          <t>978-5-0058-0968-1</t>
        </is>
      </c>
      <c r="S1227" s="1" t="inlineStr">
        <is>
          <t>9785005809681</t>
        </is>
      </c>
      <c r="T1227" s="9" t="n">
        <v>10</v>
      </c>
      <c r="U1227" s="1">
        <f>ROUNDUP(1263.64*(1-$F$3),2)</f>
        <v/>
      </c>
      <c r="V1227" s="1" t="n">
        <v>741</v>
      </c>
      <c r="Y1227" s="1" t="inlineStr">
        <is>
          <t>Книга извечных ценностей</t>
        </is>
      </c>
      <c r="Z1227" s="1" t="inlineStr">
        <is>
          <t>16+</t>
        </is>
      </c>
      <c r="AA1227" s="12" t="n">
        <v>46075</v>
      </c>
      <c r="AB1227" s="1" t="inlineStr">
        <is>
          <t>Художественная литература</t>
        </is>
      </c>
      <c r="AC1227" s="1" t="inlineStr">
        <is>
          <t>Историческая проза</t>
        </is>
      </c>
      <c r="AD1227" s="1" t="inlineStr">
        <is>
          <t>Зарубежная историческая проза</t>
        </is>
      </c>
      <c r="AE1227" s="1" t="inlineStr">
        <is>
          <t>офсетная</t>
        </is>
      </c>
      <c r="AG1227" s="1" t="n">
        <v>12015850</v>
      </c>
      <c r="AI1227" s="1" t="inlineStr">
        <is>
          <t>4901990000</t>
        </is>
      </c>
    </row>
    <row r="1228" customFormat="1" s="1">
      <c r="C1228" s="1" t="inlineStr">
        <is>
          <t xml:space="preserve">12039020            </t>
        </is>
      </c>
      <c r="D1228" s="1" t="inlineStr">
        <is>
          <t>Галерея: семейные саги</t>
        </is>
      </c>
      <c r="E1228" s="1" t="inlineStr">
        <is>
          <t>Пока не высохнет земля. Муньес Ф.Х.</t>
        </is>
      </c>
      <c r="F1228" s="13" t="inlineStr">
        <is>
          <t>См.обл.</t>
        </is>
      </c>
      <c r="G1228" s="1" t="inlineStr">
        <is>
          <t>Муньес Ф.Х.</t>
        </is>
      </c>
      <c r="H1228" s="1" t="inlineStr">
        <is>
          <t>60х90/16</t>
        </is>
      </c>
      <c r="I1228" s="1" t="n">
        <v>512</v>
      </c>
      <c r="J1228" s="1" t="inlineStr">
        <is>
          <t>Дом историй</t>
        </is>
      </c>
      <c r="K1228" s="1" t="inlineStr">
        <is>
          <t>Эвербук</t>
        </is>
      </c>
      <c r="M1228" s="1" t="inlineStr">
        <is>
          <t>2026</t>
        </is>
      </c>
      <c r="N1228" s="1" t="inlineStr">
        <is>
          <t>П</t>
        </is>
      </c>
      <c r="O1228" s="9" t="n">
        <v>10</v>
      </c>
      <c r="P1228" s="1">
        <f>ROUNDUP(1100*(1-$F$3),2)</f>
        <v/>
      </c>
      <c r="Q1228" s="1" t="inlineStr">
        <is>
          <t> </t>
        </is>
      </c>
      <c r="R1228" s="1" t="inlineStr">
        <is>
          <t>978-5-0058-0657-4</t>
        </is>
      </c>
      <c r="S1228" s="1" t="inlineStr">
        <is>
          <t>9785005806574</t>
        </is>
      </c>
      <c r="T1228" s="9" t="n">
        <v>22</v>
      </c>
      <c r="U1228" s="1">
        <f>ROUNDUP(901.64*(1-$F$3),2)</f>
        <v/>
      </c>
      <c r="V1228" s="1" t="n">
        <v>594</v>
      </c>
      <c r="Y1228" s="1" t="inlineStr">
        <is>
          <t>Пока не высохнет земля</t>
        </is>
      </c>
      <c r="Z1228" s="1" t="inlineStr">
        <is>
          <t>18+</t>
        </is>
      </c>
      <c r="AA1228" s="12" t="n">
        <v>46085</v>
      </c>
      <c r="AB1228" s="1" t="inlineStr">
        <is>
          <t>Художественная литература</t>
        </is>
      </c>
      <c r="AC1228" s="1" t="inlineStr">
        <is>
          <t>Зарубежная литература</t>
        </is>
      </c>
      <c r="AD1228" s="1" t="inlineStr">
        <is>
          <t>Европейская литература</t>
        </is>
      </c>
      <c r="AE1228" s="1" t="inlineStr">
        <is>
          <t>офсетная</t>
        </is>
      </c>
      <c r="AG1228" s="1" t="n">
        <v>12039020</v>
      </c>
      <c r="AI1228" s="1" t="inlineStr">
        <is>
          <t>4901990000</t>
        </is>
      </c>
    </row>
    <row r="1229" customFormat="1" s="1">
      <c r="C1229" s="1" t="inlineStr">
        <is>
          <t xml:space="preserve">12111150            </t>
        </is>
      </c>
      <c r="D1229" s="1" t="inlineStr">
        <is>
          <t>Галерея: семейные саги</t>
        </is>
      </c>
      <c r="E1229" s="1" t="inlineStr">
        <is>
          <t>Проклятие сестер Зыонг. Хюин К</t>
        </is>
      </c>
      <c r="F1229" s="13" t="inlineStr">
        <is>
          <t>См.обл.</t>
        </is>
      </c>
      <c r="G1229" s="1" t="inlineStr">
        <is>
          <t>Хюин К</t>
        </is>
      </c>
      <c r="H1229" s="1" t="inlineStr">
        <is>
          <t>84х108/32</t>
        </is>
      </c>
      <c r="I1229" s="1" t="n">
        <v>416</v>
      </c>
      <c r="J1229" s="1" t="inlineStr">
        <is>
          <t>Дом историй</t>
        </is>
      </c>
      <c r="K1229" s="1" t="inlineStr">
        <is>
          <t>Эвербук</t>
        </is>
      </c>
      <c r="M1229" s="1" t="inlineStr">
        <is>
          <t>2026</t>
        </is>
      </c>
      <c r="N1229" s="1" t="inlineStr">
        <is>
          <t>П</t>
        </is>
      </c>
      <c r="O1229" s="9" t="n">
        <v>8</v>
      </c>
      <c r="P1229" s="1">
        <f>ROUNDUP(1190*(1-$F$3),2)</f>
        <v/>
      </c>
      <c r="Q1229" s="1" t="inlineStr">
        <is>
          <t> </t>
        </is>
      </c>
      <c r="R1229" s="1" t="inlineStr">
        <is>
          <t>978-5-0058-0980-3</t>
        </is>
      </c>
      <c r="S1229" s="1" t="inlineStr">
        <is>
          <t>9785005809803</t>
        </is>
      </c>
      <c r="T1229" s="9" t="n">
        <v>22</v>
      </c>
      <c r="U1229" s="1">
        <f>ROUNDUP(975.41*(1-$F$3),2)</f>
        <v/>
      </c>
      <c r="V1229" s="1" t="n">
        <v>451</v>
      </c>
      <c r="Y1229" s="1" t="inlineStr">
        <is>
          <t>Проклятие сестер Зыонг</t>
        </is>
      </c>
      <c r="Z1229" s="1" t="inlineStr">
        <is>
          <t>18+</t>
        </is>
      </c>
      <c r="AA1229" s="12" t="n">
        <v>46147</v>
      </c>
      <c r="AB1229" s="1" t="inlineStr">
        <is>
          <t>Художественная литература</t>
        </is>
      </c>
      <c r="AC1229" s="1" t="inlineStr">
        <is>
          <t>Зарубежная литература</t>
        </is>
      </c>
      <c r="AD1229" s="1" t="inlineStr">
        <is>
          <t>Литература Америки и Австралии</t>
        </is>
      </c>
      <c r="AE1229" s="1" t="inlineStr">
        <is>
          <t>офсетная</t>
        </is>
      </c>
      <c r="AG1229" s="1" t="n">
        <v>12111150</v>
      </c>
      <c r="AI1229" s="1" t="inlineStr">
        <is>
          <t>4901990000</t>
        </is>
      </c>
      <c r="AJ1229" s="1" t="inlineStr">
        <is>
          <t>Зпв</t>
        </is>
      </c>
    </row>
    <row r="1230" customFormat="1" s="1">
      <c r="C1230" s="1" t="inlineStr">
        <is>
          <t xml:space="preserve">11739090            </t>
        </is>
      </c>
      <c r="D1230" s="1" t="inlineStr">
        <is>
          <t>Галерея: семейные саги</t>
        </is>
      </c>
      <c r="E1230" s="1" t="inlineStr">
        <is>
          <t>Сад в Суффолке. Сойер К.</t>
        </is>
      </c>
      <c r="F1230" s="13" t="inlineStr">
        <is>
          <t>См.обл.</t>
        </is>
      </c>
      <c r="G1230" s="1" t="inlineStr">
        <is>
          <t>Сойер К.</t>
        </is>
      </c>
      <c r="H1230" s="1" t="inlineStr">
        <is>
          <t>84х108/32</t>
        </is>
      </c>
      <c r="I1230" s="1" t="n">
        <v>416</v>
      </c>
      <c r="J1230" s="1" t="inlineStr">
        <is>
          <t>Дом историй</t>
        </is>
      </c>
      <c r="K1230" s="1" t="inlineStr">
        <is>
          <t>Эвербук</t>
        </is>
      </c>
      <c r="M1230" s="1" t="inlineStr">
        <is>
          <t>2025</t>
        </is>
      </c>
      <c r="N1230" s="1" t="inlineStr">
        <is>
          <t>П</t>
        </is>
      </c>
      <c r="O1230" s="9" t="n">
        <v>6</v>
      </c>
      <c r="P1230" s="1">
        <f>ROUNDUP(1160*(1-$F$3),2)</f>
        <v/>
      </c>
      <c r="Q1230" s="1" t="inlineStr">
        <is>
          <t> </t>
        </is>
      </c>
      <c r="R1230" s="1" t="inlineStr">
        <is>
          <t>978-5-0058-0825-7</t>
        </is>
      </c>
      <c r="S1230" s="1" t="inlineStr">
        <is>
          <t>9785005808257</t>
        </is>
      </c>
      <c r="T1230" s="9" t="n">
        <v>22</v>
      </c>
      <c r="U1230" s="1">
        <f>ROUNDUP(950.82*(1-$F$3),2)</f>
        <v/>
      </c>
      <c r="V1230" s="1" t="n">
        <v>446</v>
      </c>
      <c r="Y1230" s="1" t="inlineStr">
        <is>
          <t>Сад в Суффолке</t>
        </is>
      </c>
      <c r="Z1230" s="1" t="inlineStr">
        <is>
          <t>18+</t>
        </is>
      </c>
      <c r="AA1230" s="12" t="n">
        <v>45826</v>
      </c>
      <c r="AB1230" s="1" t="inlineStr">
        <is>
          <t>Художественная литература</t>
        </is>
      </c>
      <c r="AC1230" s="1" t="inlineStr">
        <is>
          <t>Зарубежная литература</t>
        </is>
      </c>
      <c r="AD1230" s="1" t="inlineStr">
        <is>
          <t>Европейская литература</t>
        </is>
      </c>
      <c r="AE1230" s="1" t="inlineStr">
        <is>
          <t>офсетная</t>
        </is>
      </c>
      <c r="AG1230" s="1" t="n">
        <v>11739090</v>
      </c>
      <c r="AI1230" s="1" t="inlineStr">
        <is>
          <t>4901990000</t>
        </is>
      </c>
      <c r="AJ1230" s="1" t="inlineStr">
        <is>
          <t>Зпв</t>
        </is>
      </c>
    </row>
    <row r="1231" customFormat="1" s="11">
      <c r="A1231" s="11" t="inlineStr">
        <is>
          <t>нов</t>
        </is>
      </c>
      <c r="C1231" s="11" t="inlineStr">
        <is>
          <t xml:space="preserve">12251270            </t>
        </is>
      </c>
      <c r="D1231" s="11" t="inlineStr">
        <is>
          <t>Галерея: семейные саги</t>
        </is>
      </c>
      <c r="E1231" s="11" t="inlineStr">
        <is>
          <t>Судьба. Цай Чунда</t>
        </is>
      </c>
      <c r="F1231" s="14" t="inlineStr">
        <is>
          <t>См.обл.</t>
        </is>
      </c>
      <c r="G1231" s="11" t="inlineStr">
        <is>
          <t>Цай Чунда</t>
        </is>
      </c>
      <c r="H1231" s="11" t="inlineStr">
        <is>
          <t>84х108/32</t>
        </is>
      </c>
      <c r="I1231" s="11" t="n">
        <v>480</v>
      </c>
      <c r="J1231" s="11" t="inlineStr">
        <is>
          <t>Дом историй</t>
        </is>
      </c>
      <c r="K1231" s="11" t="inlineStr">
        <is>
          <t>Эвербук</t>
        </is>
      </c>
      <c r="M1231" s="11" t="inlineStr">
        <is>
          <t>2026</t>
        </is>
      </c>
      <c r="N1231" s="11" t="inlineStr">
        <is>
          <t>П</t>
        </is>
      </c>
      <c r="O1231" s="26" t="n">
        <v>8</v>
      </c>
      <c r="P1231" s="11">
        <f>ROUNDUP(1100*(1-$F$3),2)</f>
        <v/>
      </c>
      <c r="Q1231" s="11" t="inlineStr">
        <is>
          <t> </t>
        </is>
      </c>
      <c r="R1231" s="11" t="inlineStr">
        <is>
          <t>978-5-0058-1154-7</t>
        </is>
      </c>
      <c r="S1231" s="11" t="inlineStr">
        <is>
          <t>9785005811547</t>
        </is>
      </c>
      <c r="T1231" s="26" t="n">
        <v>10</v>
      </c>
      <c r="U1231" s="11">
        <f>ROUNDUP(1000*(1-$F$3),2)</f>
        <v/>
      </c>
      <c r="V1231" s="11" t="n">
        <v>502</v>
      </c>
      <c r="Y1231" s="11" t="inlineStr">
        <is>
          <t>Судьба</t>
        </is>
      </c>
      <c r="Z1231" s="11" t="inlineStr">
        <is>
          <t>16+</t>
        </is>
      </c>
      <c r="AA1231" s="15" t="n">
        <v>46265</v>
      </c>
      <c r="AB1231" s="11" t="inlineStr">
        <is>
          <t>Художественная литература</t>
        </is>
      </c>
      <c r="AC1231" s="11" t="inlineStr">
        <is>
          <t>Зарубежная литература</t>
        </is>
      </c>
      <c r="AD1231" s="11" t="inlineStr">
        <is>
          <t>Литература стран Азии и Африки</t>
        </is>
      </c>
      <c r="AE1231" s="11" t="inlineStr">
        <is>
          <t>офсетная</t>
        </is>
      </c>
      <c r="AG1231" s="11" t="n">
        <v>12251270</v>
      </c>
      <c r="AI1231" s="11" t="inlineStr">
        <is>
          <t>4901990000</t>
        </is>
      </c>
    </row>
    <row r="1232" customFormat="1" s="1">
      <c r="C1232" s="1" t="inlineStr">
        <is>
          <t xml:space="preserve">11751170            </t>
        </is>
      </c>
      <c r="D1232" s="1" t="inlineStr">
        <is>
          <t>Галерея: семейные саги</t>
        </is>
      </c>
      <c r="E1232" s="1" t="inlineStr">
        <is>
          <t>Три раны. Санчес-Гарника П.</t>
        </is>
      </c>
      <c r="F1232" s="13" t="inlineStr">
        <is>
          <t>См.обл.</t>
        </is>
      </c>
      <c r="G1232" s="1" t="inlineStr">
        <is>
          <t>Санчес-Гарника П.</t>
        </is>
      </c>
      <c r="H1232" s="1" t="inlineStr">
        <is>
          <t>60х90/16</t>
        </is>
      </c>
      <c r="I1232" s="1" t="n">
        <v>672</v>
      </c>
      <c r="J1232" s="1" t="inlineStr">
        <is>
          <t>Дом историй</t>
        </is>
      </c>
      <c r="K1232" s="1" t="inlineStr">
        <is>
          <t>Эвербук</t>
        </is>
      </c>
      <c r="M1232" s="1" t="inlineStr">
        <is>
          <t>2025</t>
        </is>
      </c>
      <c r="N1232" s="1" t="inlineStr">
        <is>
          <t>П</t>
        </is>
      </c>
      <c r="O1232" s="9" t="n">
        <v>8</v>
      </c>
      <c r="P1232" s="1">
        <f>ROUNDUP(1350*(1-$F$3),2)</f>
        <v/>
      </c>
      <c r="Q1232" s="1" t="inlineStr">
        <is>
          <t> </t>
        </is>
      </c>
      <c r="R1232" s="1" t="inlineStr">
        <is>
          <t>978-5-0058-0654-3</t>
        </is>
      </c>
      <c r="S1232" s="1" t="inlineStr">
        <is>
          <t>9785005806543</t>
        </is>
      </c>
      <c r="T1232" s="9" t="n">
        <v>10</v>
      </c>
      <c r="U1232" s="1">
        <f>ROUNDUP(1227.27*(1-$F$3),2)</f>
        <v/>
      </c>
      <c r="V1232" s="1" t="n">
        <v>696</v>
      </c>
      <c r="Y1232" s="1" t="inlineStr">
        <is>
          <t>Три раны</t>
        </is>
      </c>
      <c r="Z1232" s="1" t="inlineStr">
        <is>
          <t>16+</t>
        </is>
      </c>
      <c r="AA1232" s="12" t="n">
        <v>45807</v>
      </c>
      <c r="AB1232" s="1" t="inlineStr">
        <is>
          <t>Художественная литература</t>
        </is>
      </c>
      <c r="AC1232" s="1" t="inlineStr">
        <is>
          <t>Историческая проза</t>
        </is>
      </c>
      <c r="AD1232" s="1" t="inlineStr">
        <is>
          <t>Зарубежная историческая проза</t>
        </is>
      </c>
      <c r="AE1232" s="1" t="inlineStr">
        <is>
          <t>офсетная</t>
        </is>
      </c>
      <c r="AG1232" s="1" t="n">
        <v>11751170</v>
      </c>
      <c r="AI1232" s="1" t="inlineStr">
        <is>
          <t>4901990000</t>
        </is>
      </c>
    </row>
    <row r="1233" customFormat="1" s="1">
      <c r="C1233" s="1" t="inlineStr">
        <is>
          <t xml:space="preserve">11625970            </t>
        </is>
      </c>
      <c r="D1233" s="1" t="inlineStr">
        <is>
          <t>Город Чудный</t>
        </is>
      </c>
      <c r="E1233" s="1" t="inlineStr">
        <is>
          <t>Город Чудный. Кн. 1: Воскресшие. Сталюкова Е.</t>
        </is>
      </c>
      <c r="F1233" s="13" t="inlineStr">
        <is>
          <t>См.обл.</t>
        </is>
      </c>
      <c r="G1233" s="1" t="inlineStr">
        <is>
          <t>Сталюкова Е.</t>
        </is>
      </c>
      <c r="H1233" s="1" t="inlineStr">
        <is>
          <t>84х108/32</t>
        </is>
      </c>
      <c r="I1233" s="1" t="n">
        <v>576</v>
      </c>
      <c r="J1233" s="1" t="inlineStr">
        <is>
          <t>Дом историй</t>
        </is>
      </c>
      <c r="K1233" s="1" t="inlineStr">
        <is>
          <t>Эвербук</t>
        </is>
      </c>
      <c r="M1233" s="1" t="inlineStr">
        <is>
          <t>2025</t>
        </is>
      </c>
      <c r="N1233" s="1" t="inlineStr">
        <is>
          <t>П</t>
        </is>
      </c>
      <c r="O1233" s="9" t="n">
        <v>10</v>
      </c>
      <c r="P1233" s="1">
        <f>ROUNDUP(1210*(1-$F$3),2)</f>
        <v/>
      </c>
      <c r="Q1233" s="1" t="inlineStr">
        <is>
          <t> </t>
        </is>
      </c>
      <c r="R1233" s="1" t="inlineStr">
        <is>
          <t>978-5-0058-0633-8</t>
        </is>
      </c>
      <c r="S1233" s="1" t="inlineStr">
        <is>
          <t>9785005806338</t>
        </is>
      </c>
      <c r="T1233" s="9" t="n">
        <v>22</v>
      </c>
      <c r="U1233" s="1">
        <f>ROUNDUP(991.8*(1-$F$3),2)</f>
        <v/>
      </c>
      <c r="V1233" s="1" t="n">
        <v>573</v>
      </c>
      <c r="Y1233" s="1" t="inlineStr">
        <is>
          <t>Город Чудный. Кн. 1: Воскресшие</t>
        </is>
      </c>
      <c r="Z1233" s="1" t="inlineStr">
        <is>
          <t>18+</t>
        </is>
      </c>
      <c r="AA1233" s="12" t="n">
        <v>45733</v>
      </c>
      <c r="AB1233" s="1" t="inlineStr">
        <is>
          <t>Художественная литература</t>
        </is>
      </c>
      <c r="AC1233" s="1" t="inlineStr">
        <is>
          <t>Фантастика. Мистика. Ужасы</t>
        </is>
      </c>
      <c r="AD1233" s="1" t="inlineStr">
        <is>
          <t>Мистика. Ужасы</t>
        </is>
      </c>
      <c r="AE1233" s="1" t="inlineStr">
        <is>
          <t>офсетная</t>
        </is>
      </c>
      <c r="AG1233" s="1" t="n">
        <v>11625970</v>
      </c>
      <c r="AI1233" s="1" t="inlineStr">
        <is>
          <t>4901990000</t>
        </is>
      </c>
    </row>
    <row r="1234" customFormat="1" s="1">
      <c r="C1234" s="1" t="inlineStr">
        <is>
          <t xml:space="preserve">11541100            </t>
        </is>
      </c>
      <c r="D1234" s="1" t="inlineStr">
        <is>
          <t>Дача: романы для души</t>
        </is>
      </c>
      <c r="E1234" s="1" t="inlineStr">
        <is>
          <t>День между пятницей и воскресеньем. Лейк И.В.</t>
        </is>
      </c>
      <c r="F1234" s="13" t="inlineStr">
        <is>
          <t>См.обл.</t>
        </is>
      </c>
      <c r="G1234" s="1" t="inlineStr">
        <is>
          <t>Лейк И.В.</t>
        </is>
      </c>
      <c r="H1234" s="1" t="inlineStr">
        <is>
          <t>60х90/16</t>
        </is>
      </c>
      <c r="I1234" s="1" t="n">
        <v>512</v>
      </c>
      <c r="J1234" s="1" t="inlineStr">
        <is>
          <t>Дом историй</t>
        </is>
      </c>
      <c r="K1234" s="1" t="inlineStr">
        <is>
          <t>Эвербук</t>
        </is>
      </c>
      <c r="M1234" s="1" t="inlineStr">
        <is>
          <t>2025</t>
        </is>
      </c>
      <c r="N1234" s="1" t="inlineStr">
        <is>
          <t>П</t>
        </is>
      </c>
      <c r="O1234" s="9" t="n">
        <v>6</v>
      </c>
      <c r="P1234" s="1">
        <f>ROUNDUP(1490*(1-$F$3),2)</f>
        <v/>
      </c>
      <c r="Q1234" s="1" t="inlineStr">
        <is>
          <t> </t>
        </is>
      </c>
      <c r="R1234" s="1" t="inlineStr">
        <is>
          <t>978-5-0058-0253-8</t>
        </is>
      </c>
      <c r="S1234" s="1" t="inlineStr">
        <is>
          <t>9785005802538</t>
        </is>
      </c>
      <c r="T1234" s="9" t="n">
        <v>10</v>
      </c>
      <c r="U1234" s="1">
        <f>ROUNDUP(1354.55*(1-$F$3),2)</f>
        <v/>
      </c>
      <c r="V1234" s="1" t="n">
        <v>549</v>
      </c>
      <c r="Y1234" s="1" t="inlineStr">
        <is>
          <t>День между пятницей и воскресеньем</t>
        </is>
      </c>
      <c r="Z1234" s="1" t="inlineStr">
        <is>
          <t>16+</t>
        </is>
      </c>
      <c r="AA1234" s="12" t="n">
        <v>45603</v>
      </c>
      <c r="AB1234" s="1" t="inlineStr">
        <is>
          <t>Художественная литература</t>
        </is>
      </c>
      <c r="AC1234" s="1" t="inlineStr">
        <is>
          <t>Русская литература</t>
        </is>
      </c>
      <c r="AD1234" s="1" t="inlineStr">
        <is>
          <t>Современная литература</t>
        </is>
      </c>
      <c r="AE1234" s="1" t="inlineStr">
        <is>
          <t>офсетная</t>
        </is>
      </c>
      <c r="AG1234" s="1" t="n">
        <v>11541100</v>
      </c>
      <c r="AI1234" s="1" t="inlineStr">
        <is>
          <t>4901990000</t>
        </is>
      </c>
    </row>
    <row r="1235" customFormat="1" s="1">
      <c r="C1235" s="1" t="inlineStr">
        <is>
          <t xml:space="preserve">11571070            </t>
        </is>
      </c>
      <c r="D1235" s="1" t="inlineStr">
        <is>
          <t>Дача: романы для души</t>
        </is>
      </c>
      <c r="E1235" s="1" t="inlineStr">
        <is>
          <t>Дочери судьбы. Хайланд Т.</t>
        </is>
      </c>
      <c r="F1235" s="13" t="inlineStr">
        <is>
          <t>См.обл.</t>
        </is>
      </c>
      <c r="G1235" s="1" t="inlineStr">
        <is>
          <t>Хайланд Т.</t>
        </is>
      </c>
      <c r="H1235" s="1" t="inlineStr">
        <is>
          <t>60х90/16</t>
        </is>
      </c>
      <c r="I1235" s="1" t="n">
        <v>640</v>
      </c>
      <c r="J1235" s="1" t="inlineStr">
        <is>
          <t>Дом историй</t>
        </is>
      </c>
      <c r="K1235" s="1" t="inlineStr">
        <is>
          <t>Эвербук</t>
        </is>
      </c>
      <c r="M1235" s="1" t="inlineStr">
        <is>
          <t>2025</t>
        </is>
      </c>
      <c r="N1235" s="1" t="inlineStr">
        <is>
          <t>О</t>
        </is>
      </c>
      <c r="O1235" s="9" t="n">
        <v>6</v>
      </c>
      <c r="P1235" s="1">
        <f>ROUNDUP(1150*(1-$F$3),2)</f>
        <v/>
      </c>
      <c r="Q1235" s="1" t="inlineStr">
        <is>
          <t> </t>
        </is>
      </c>
      <c r="R1235" s="1" t="inlineStr">
        <is>
          <t>978-5-0058-0468-6</t>
        </is>
      </c>
      <c r="S1235" s="1" t="inlineStr">
        <is>
          <t>9785005804686</t>
        </is>
      </c>
      <c r="T1235" s="9" t="n">
        <v>22</v>
      </c>
      <c r="U1235" s="1">
        <f>ROUNDUP(942.62*(1-$F$3),2)</f>
        <v/>
      </c>
      <c r="V1235" s="1" t="n">
        <v>563</v>
      </c>
      <c r="Y1235" s="1" t="inlineStr">
        <is>
          <t>Дочери судьбы</t>
        </is>
      </c>
      <c r="Z1235" s="1" t="inlineStr">
        <is>
          <t>18+</t>
        </is>
      </c>
      <c r="AA1235" s="12" t="n">
        <v>45616</v>
      </c>
      <c r="AB1235" s="1" t="inlineStr">
        <is>
          <t>Художественная литература</t>
        </is>
      </c>
      <c r="AC1235" s="1" t="inlineStr">
        <is>
          <t>Зарубежная литература</t>
        </is>
      </c>
      <c r="AD1235" s="1" t="inlineStr">
        <is>
          <t>Европейская литература</t>
        </is>
      </c>
      <c r="AE1235" s="1" t="inlineStr">
        <is>
          <t>офсетная</t>
        </is>
      </c>
      <c r="AG1235" s="1" t="n">
        <v>11571070</v>
      </c>
      <c r="AI1235" s="1" t="inlineStr">
        <is>
          <t>4901990000</t>
        </is>
      </c>
      <c r="AJ1235" s="1" t="inlineStr">
        <is>
          <t>Зпв</t>
        </is>
      </c>
    </row>
    <row r="1236" customFormat="1" s="1">
      <c r="C1236" s="1" t="inlineStr">
        <is>
          <t xml:space="preserve">11780750            </t>
        </is>
      </c>
      <c r="D1236" s="1" t="inlineStr">
        <is>
          <t>Дача: романы для души</t>
        </is>
      </c>
      <c r="E1236" s="1" t="inlineStr">
        <is>
          <t>Не сдавайся!. Тернер С.</t>
        </is>
      </c>
      <c r="F1236" s="13" t="inlineStr">
        <is>
          <t>См.обл.</t>
        </is>
      </c>
      <c r="G1236" s="1" t="inlineStr">
        <is>
          <t>Тернер С.</t>
        </is>
      </c>
      <c r="H1236" s="1" t="inlineStr">
        <is>
          <t>60х90/16</t>
        </is>
      </c>
      <c r="I1236" s="1" t="n">
        <v>432</v>
      </c>
      <c r="J1236" s="1" t="inlineStr">
        <is>
          <t>Дом историй</t>
        </is>
      </c>
      <c r="K1236" s="1" t="inlineStr">
        <is>
          <t>Эвербук</t>
        </is>
      </c>
      <c r="M1236" s="1" t="inlineStr">
        <is>
          <t>2025</t>
        </is>
      </c>
      <c r="N1236" s="1" t="inlineStr">
        <is>
          <t>О</t>
        </is>
      </c>
      <c r="O1236" s="9" t="n">
        <v>12</v>
      </c>
      <c r="P1236" s="1">
        <f>ROUNDUP(730*(1-$F$3),2)</f>
        <v/>
      </c>
      <c r="Q1236" s="1" t="inlineStr">
        <is>
          <t> </t>
        </is>
      </c>
      <c r="R1236" s="1" t="inlineStr">
        <is>
          <t>978-5-0058-0904-9</t>
        </is>
      </c>
      <c r="S1236" s="1" t="inlineStr">
        <is>
          <t>9785005809049</t>
        </is>
      </c>
      <c r="T1236" s="9" t="n">
        <v>10</v>
      </c>
      <c r="U1236" s="1">
        <f>ROUNDUP(663.64*(1-$F$3),2)</f>
        <v/>
      </c>
      <c r="V1236" s="1" t="n">
        <v>391</v>
      </c>
      <c r="Y1236" s="1" t="inlineStr">
        <is>
          <t>Не сдавайся!</t>
        </is>
      </c>
      <c r="Z1236" s="1" t="inlineStr">
        <is>
          <t>16+</t>
        </is>
      </c>
      <c r="AA1236" s="12" t="n">
        <v>45855</v>
      </c>
      <c r="AB1236" s="1" t="inlineStr">
        <is>
          <t>Художественная литература</t>
        </is>
      </c>
      <c r="AC1236" s="1" t="inlineStr">
        <is>
          <t>Зарубежная литература</t>
        </is>
      </c>
      <c r="AD1236" s="1" t="inlineStr">
        <is>
          <t>Европейская литература</t>
        </is>
      </c>
      <c r="AE1236" s="1" t="inlineStr">
        <is>
          <t>офсетная</t>
        </is>
      </c>
      <c r="AG1236" s="1" t="n">
        <v>11780750</v>
      </c>
      <c r="AI1236" s="1" t="inlineStr">
        <is>
          <t>4901990000</t>
        </is>
      </c>
    </row>
    <row r="1237" customFormat="1" s="1">
      <c r="C1237" s="1" t="inlineStr">
        <is>
          <t xml:space="preserve">11541330            </t>
        </is>
      </c>
      <c r="D1237" s="1" t="inlineStr">
        <is>
          <t>Дача: романы для души</t>
        </is>
      </c>
      <c r="E1237" s="1" t="inlineStr">
        <is>
          <t>Черные платья. Сент-Джон М.</t>
        </is>
      </c>
      <c r="F1237" s="13" t="inlineStr">
        <is>
          <t>См.обл.</t>
        </is>
      </c>
      <c r="G1237" s="1" t="inlineStr">
        <is>
          <t>Сент-Джон М.</t>
        </is>
      </c>
      <c r="H1237" s="1" t="inlineStr">
        <is>
          <t>76х100/32</t>
        </is>
      </c>
      <c r="I1237" s="1" t="n">
        <v>288</v>
      </c>
      <c r="J1237" s="1" t="inlineStr">
        <is>
          <t>Дом историй</t>
        </is>
      </c>
      <c r="K1237" s="1" t="inlineStr">
        <is>
          <t>Эвербук</t>
        </is>
      </c>
      <c r="M1237" s="1" t="inlineStr">
        <is>
          <t>2024</t>
        </is>
      </c>
      <c r="N1237" s="1" t="inlineStr">
        <is>
          <t>О</t>
        </is>
      </c>
      <c r="O1237" s="9" t="n">
        <v>20</v>
      </c>
      <c r="P1237" s="1">
        <f>ROUNDUP(920*(1-$F$3),2)</f>
        <v/>
      </c>
      <c r="Q1237" s="1" t="inlineStr">
        <is>
          <t> </t>
        </is>
      </c>
      <c r="R1237" s="1" t="inlineStr">
        <is>
          <t>978-5-0058-0400-6</t>
        </is>
      </c>
      <c r="S1237" s="1" t="inlineStr">
        <is>
          <t>9785005804006</t>
        </is>
      </c>
      <c r="T1237" s="9" t="n">
        <v>10</v>
      </c>
      <c r="U1237" s="1">
        <f>ROUNDUP(836.36*(1-$F$3),2)</f>
        <v/>
      </c>
      <c r="V1237" s="1" t="n">
        <v>197</v>
      </c>
      <c r="Y1237" s="1" t="inlineStr">
        <is>
          <t>Черные платья</t>
        </is>
      </c>
      <c r="Z1237" s="1" t="inlineStr">
        <is>
          <t>16+</t>
        </is>
      </c>
      <c r="AA1237" s="12" t="n">
        <v>45603</v>
      </c>
      <c r="AB1237" s="1" t="inlineStr">
        <is>
          <t>Художественная литература</t>
        </is>
      </c>
      <c r="AC1237" s="1" t="inlineStr">
        <is>
          <t>Зарубежная литература</t>
        </is>
      </c>
      <c r="AD1237" s="1" t="inlineStr">
        <is>
          <t>Литература Америки и Австралии</t>
        </is>
      </c>
      <c r="AE1237" s="1" t="inlineStr">
        <is>
          <t>офсетная</t>
        </is>
      </c>
      <c r="AG1237" s="1" t="n">
        <v>11541330</v>
      </c>
      <c r="AI1237" s="1" t="inlineStr">
        <is>
          <t>4901990000</t>
        </is>
      </c>
    </row>
    <row r="1238" customFormat="1" s="1">
      <c r="C1238" s="1" t="inlineStr">
        <is>
          <t xml:space="preserve">11831250            </t>
        </is>
      </c>
      <c r="D1238" s="1" t="inlineStr">
        <is>
          <t>Жаркая Испания: романы Фернандо Х. Муньеса</t>
        </is>
      </c>
      <c r="E1238" s="1" t="inlineStr">
        <is>
          <t>Кухарка из Кастамара. Муньес Ф.Х.</t>
        </is>
      </c>
      <c r="F1238" s="13" t="inlineStr">
        <is>
          <t>См.обл.</t>
        </is>
      </c>
      <c r="G1238" s="1" t="inlineStr">
        <is>
          <t>Муньес Ф.Х.</t>
        </is>
      </c>
      <c r="H1238" s="1" t="inlineStr">
        <is>
          <t>60х90/16</t>
        </is>
      </c>
      <c r="I1238" s="1" t="n">
        <v>880</v>
      </c>
      <c r="J1238" s="1" t="inlineStr">
        <is>
          <t>Дом историй</t>
        </is>
      </c>
      <c r="K1238" s="1" t="inlineStr">
        <is>
          <t>Эвербук</t>
        </is>
      </c>
      <c r="M1238" s="1" t="inlineStr">
        <is>
          <t>2025</t>
        </is>
      </c>
      <c r="N1238" s="1" t="inlineStr">
        <is>
          <t>П</t>
        </is>
      </c>
      <c r="O1238" s="9" t="n">
        <v>6</v>
      </c>
      <c r="P1238" s="1">
        <f>ROUNDUP(1290*(1-$F$3),2)</f>
        <v/>
      </c>
      <c r="Q1238" s="1" t="inlineStr">
        <is>
          <t> </t>
        </is>
      </c>
      <c r="R1238" s="1" t="inlineStr">
        <is>
          <t>978-5-0058-0866-0</t>
        </is>
      </c>
      <c r="S1238" s="1" t="inlineStr">
        <is>
          <t>9785005808660</t>
        </is>
      </c>
      <c r="T1238" s="9" t="n">
        <v>22</v>
      </c>
      <c r="U1238" s="1">
        <f>ROUNDUP(1057.38*(1-$F$3),2)</f>
        <v/>
      </c>
      <c r="V1238" s="1" t="n">
        <v>907</v>
      </c>
      <c r="Y1238" s="1" t="inlineStr">
        <is>
          <t>Кухарка из Кастамара</t>
        </is>
      </c>
      <c r="Z1238" s="1" t="inlineStr">
        <is>
          <t>18+</t>
        </is>
      </c>
      <c r="AA1238" s="12" t="n">
        <v>45879</v>
      </c>
      <c r="AB1238" s="1" t="inlineStr">
        <is>
          <t>Художественная литература</t>
        </is>
      </c>
      <c r="AC1238" s="1" t="inlineStr">
        <is>
          <t>Историческая проза</t>
        </is>
      </c>
      <c r="AD1238" s="1" t="inlineStr">
        <is>
          <t>Зарубежная историческая проза</t>
        </is>
      </c>
      <c r="AE1238" s="1" t="inlineStr">
        <is>
          <t>офсетная</t>
        </is>
      </c>
      <c r="AG1238" s="1" t="n">
        <v>11831250</v>
      </c>
      <c r="AI1238" s="1" t="inlineStr">
        <is>
          <t>4901990000</t>
        </is>
      </c>
      <c r="AJ1238" s="1" t="inlineStr">
        <is>
          <t>Зпв</t>
        </is>
      </c>
    </row>
    <row r="1239" customFormat="1" s="1">
      <c r="C1239" s="1" t="inlineStr">
        <is>
          <t xml:space="preserve">12197970            </t>
        </is>
      </c>
      <c r="D1239" s="1" t="inlineStr">
        <is>
          <t>Камин: классические детективы</t>
        </is>
      </c>
      <c r="E1239" s="1" t="inlineStr">
        <is>
          <t>Благотворительное общество невоспитанных леди. Гудман Э.</t>
        </is>
      </c>
      <c r="F1239" s="13" t="inlineStr">
        <is>
          <t>См.обл.</t>
        </is>
      </c>
      <c r="G1239" s="1" t="inlineStr">
        <is>
          <t>Гудман Э.</t>
        </is>
      </c>
      <c r="H1239" s="1" t="inlineStr">
        <is>
          <t>60х90/16</t>
        </is>
      </c>
      <c r="I1239" s="1" t="n">
        <v>480</v>
      </c>
      <c r="J1239" s="1" t="inlineStr">
        <is>
          <t>Дом историй</t>
        </is>
      </c>
      <c r="K1239" s="1" t="inlineStr">
        <is>
          <t>Эвербук</t>
        </is>
      </c>
      <c r="M1239" s="1" t="inlineStr">
        <is>
          <t>2026</t>
        </is>
      </c>
      <c r="N1239" s="1" t="inlineStr">
        <is>
          <t>П</t>
        </is>
      </c>
      <c r="O1239" s="9" t="n">
        <v>8</v>
      </c>
      <c r="P1239" s="1">
        <f>ROUNDUP(1250*(1-$F$3),2)</f>
        <v/>
      </c>
      <c r="Q1239" s="1" t="inlineStr">
        <is>
          <t> </t>
        </is>
      </c>
      <c r="R1239" s="1" t="inlineStr">
        <is>
          <t>978-5-386-15250-5</t>
        </is>
      </c>
      <c r="S1239" s="1" t="inlineStr">
        <is>
          <t>9785386152505</t>
        </is>
      </c>
      <c r="T1239" s="9" t="n">
        <v>22</v>
      </c>
      <c r="U1239" s="1">
        <f>ROUNDUP(1024.59*(1-$F$3),2)</f>
        <v/>
      </c>
      <c r="V1239" s="1" t="n">
        <v>575</v>
      </c>
      <c r="Y1239" s="1" t="inlineStr">
        <is>
          <t>Благотворительное общество невоспитанных леди</t>
        </is>
      </c>
      <c r="Z1239" s="1" t="inlineStr">
        <is>
          <t>18+</t>
        </is>
      </c>
      <c r="AA1239" s="12" t="n">
        <v>46209</v>
      </c>
      <c r="AB1239" s="1" t="inlineStr">
        <is>
          <t>Художественная литература</t>
        </is>
      </c>
      <c r="AC1239" s="1" t="inlineStr">
        <is>
          <t>Детективы. Боевики. Триллеры</t>
        </is>
      </c>
      <c r="AD1239" s="1" t="inlineStr">
        <is>
          <t>Зарубежный детектив</t>
        </is>
      </c>
      <c r="AE1239" s="1" t="inlineStr">
        <is>
          <t>офсетная</t>
        </is>
      </c>
      <c r="AG1239" s="1" t="n">
        <v>12197970</v>
      </c>
      <c r="AI1239" s="1" t="inlineStr">
        <is>
          <t>4901990000</t>
        </is>
      </c>
      <c r="AJ1239" s="1" t="inlineStr">
        <is>
          <t>Зпв</t>
        </is>
      </c>
    </row>
    <row r="1240" customFormat="1" s="1">
      <c r="C1240" s="1" t="inlineStr">
        <is>
          <t xml:space="preserve">11719170            </t>
        </is>
      </c>
      <c r="D1240" s="1" t="inlineStr">
        <is>
          <t>Камин: классические детективы</t>
        </is>
      </c>
      <c r="E1240" s="1" t="inlineStr">
        <is>
          <t>Клуб любителей искусства и расследований. Экклстон М.</t>
        </is>
      </c>
      <c r="F1240" s="13" t="inlineStr">
        <is>
          <t>См.обл.</t>
        </is>
      </c>
      <c r="G1240" s="1" t="inlineStr">
        <is>
          <t>Экклстон М.</t>
        </is>
      </c>
      <c r="H1240" s="1" t="inlineStr">
        <is>
          <t>84х108/32</t>
        </is>
      </c>
      <c r="I1240" s="1" t="n">
        <v>432</v>
      </c>
      <c r="J1240" s="1" t="inlineStr">
        <is>
          <t>Дом историй</t>
        </is>
      </c>
      <c r="K1240" s="1" t="inlineStr">
        <is>
          <t>Эвербук</t>
        </is>
      </c>
      <c r="M1240" s="1" t="inlineStr">
        <is>
          <t>2025</t>
        </is>
      </c>
      <c r="N1240" s="1" t="inlineStr">
        <is>
          <t>О</t>
        </is>
      </c>
      <c r="O1240" s="9" t="n">
        <v>5</v>
      </c>
      <c r="P1240" s="1">
        <f>ROUNDUP(680*(1-$F$3),2)</f>
        <v/>
      </c>
      <c r="Q1240" s="1" t="inlineStr">
        <is>
          <t> </t>
        </is>
      </c>
      <c r="R1240" s="1" t="inlineStr">
        <is>
          <t>978-5-0058-0423-5</t>
        </is>
      </c>
      <c r="S1240" s="1" t="inlineStr">
        <is>
          <t>9785005804235</t>
        </is>
      </c>
      <c r="T1240" s="9" t="n">
        <v>10</v>
      </c>
      <c r="U1240" s="1">
        <f>ROUNDUP(618.18*(1-$F$3),2)</f>
        <v/>
      </c>
      <c r="V1240" s="1" t="n">
        <v>387</v>
      </c>
      <c r="Y1240" s="1" t="inlineStr">
        <is>
          <t>Клуб любителей искусства и расследований</t>
        </is>
      </c>
      <c r="Z1240" s="1" t="inlineStr">
        <is>
          <t>16+</t>
        </is>
      </c>
      <c r="AA1240" s="12" t="n">
        <v>45772</v>
      </c>
      <c r="AB1240" s="1" t="inlineStr">
        <is>
          <t>Художественная литература</t>
        </is>
      </c>
      <c r="AC1240" s="1" t="inlineStr">
        <is>
          <t>Детективы. Боевики. Триллеры</t>
        </is>
      </c>
      <c r="AD1240" s="1" t="inlineStr">
        <is>
          <t>Зарубежный детектив</t>
        </is>
      </c>
      <c r="AE1240" s="1" t="inlineStr">
        <is>
          <t>офсетная</t>
        </is>
      </c>
      <c r="AG1240" s="1" t="n">
        <v>11719170</v>
      </c>
      <c r="AI1240" s="1" t="inlineStr">
        <is>
          <t>4901990000</t>
        </is>
      </c>
      <c r="AJ1240" s="1" t="inlineStr">
        <is>
          <t>Зпв</t>
        </is>
      </c>
    </row>
    <row r="1241" customFormat="1" s="1">
      <c r="C1241" s="1" t="inlineStr">
        <is>
          <t xml:space="preserve">11541440            </t>
        </is>
      </c>
      <c r="D1241" s="1" t="inlineStr">
        <is>
          <t>Камин: классические детективы</t>
        </is>
      </c>
      <c r="E1241" s="1" t="inlineStr">
        <is>
          <t>Крокодил на песке. Питерс Э.</t>
        </is>
      </c>
      <c r="F1241" s="13" t="inlineStr">
        <is>
          <t>См.обл.</t>
        </is>
      </c>
      <c r="G1241" s="1" t="inlineStr">
        <is>
          <t>Питерс Э.</t>
        </is>
      </c>
      <c r="H1241" s="1" t="inlineStr">
        <is>
          <t>76х100/32</t>
        </is>
      </c>
      <c r="I1241" s="1" t="n">
        <v>416</v>
      </c>
      <c r="J1241" s="1" t="inlineStr">
        <is>
          <t>Дом историй</t>
        </is>
      </c>
      <c r="K1241" s="1" t="inlineStr">
        <is>
          <t>Эвербук</t>
        </is>
      </c>
      <c r="M1241" s="1" t="inlineStr">
        <is>
          <t>2026</t>
        </is>
      </c>
      <c r="N1241" s="1" t="inlineStr">
        <is>
          <t>О</t>
        </is>
      </c>
      <c r="O1241" s="9" t="n">
        <v>6</v>
      </c>
      <c r="P1241" s="1">
        <f>ROUNDUP(1040*(1-$F$3),2)</f>
        <v/>
      </c>
      <c r="Q1241" s="1" t="inlineStr">
        <is>
          <t> </t>
        </is>
      </c>
      <c r="R1241" s="1" t="inlineStr">
        <is>
          <t>978-5-0058-0484-6</t>
        </is>
      </c>
      <c r="S1241" s="1" t="inlineStr">
        <is>
          <t>9785005804846</t>
        </is>
      </c>
      <c r="T1241" s="9" t="n">
        <v>10</v>
      </c>
      <c r="U1241" s="1">
        <f>ROUNDUP(945.45*(1-$F$3),2)</f>
        <v/>
      </c>
      <c r="V1241" s="1" t="n">
        <v>247</v>
      </c>
      <c r="Y1241" s="1" t="inlineStr">
        <is>
          <t>Крокодил на песке</t>
        </is>
      </c>
      <c r="Z1241" s="1" t="inlineStr">
        <is>
          <t>16+</t>
        </is>
      </c>
      <c r="AA1241" s="12" t="n">
        <v>45603</v>
      </c>
      <c r="AB1241" s="1" t="inlineStr">
        <is>
          <t>Художественная литература</t>
        </is>
      </c>
      <c r="AC1241" s="1" t="inlineStr">
        <is>
          <t>Детективы. Боевики. Триллеры</t>
        </is>
      </c>
      <c r="AD1241" s="1" t="inlineStr">
        <is>
          <t>Зарубежный детектив</t>
        </is>
      </c>
      <c r="AE1241" s="1" t="inlineStr">
        <is>
          <t>офсетная</t>
        </is>
      </c>
      <c r="AG1241" s="1" t="n">
        <v>11541440</v>
      </c>
      <c r="AI1241" s="1" t="inlineStr">
        <is>
          <t>4901990000</t>
        </is>
      </c>
    </row>
    <row r="1242" customFormat="1" s="1">
      <c r="C1242" s="1" t="inlineStr">
        <is>
          <t xml:space="preserve">12230870            </t>
        </is>
      </c>
      <c r="D1242" s="1" t="inlineStr">
        <is>
          <t>Камин: классические детективы</t>
        </is>
      </c>
      <c r="E1242" s="1" t="inlineStr">
        <is>
          <t>Лев в долине. Питерс Э.</t>
        </is>
      </c>
      <c r="F1242" s="13" t="inlineStr">
        <is>
          <t>См.обл.</t>
        </is>
      </c>
      <c r="G1242" s="1" t="inlineStr">
        <is>
          <t>Питерс Э.</t>
        </is>
      </c>
      <c r="H1242" s="1" t="inlineStr">
        <is>
          <t>80х100/32</t>
        </is>
      </c>
      <c r="I1242" s="1" t="n">
        <v>480</v>
      </c>
      <c r="J1242" s="1" t="inlineStr">
        <is>
          <t>Дом историй</t>
        </is>
      </c>
      <c r="K1242" s="1" t="inlineStr">
        <is>
          <t>Эвербук</t>
        </is>
      </c>
      <c r="M1242" s="1" t="inlineStr">
        <is>
          <t>2026</t>
        </is>
      </c>
      <c r="N1242" s="1" t="inlineStr">
        <is>
          <t>О</t>
        </is>
      </c>
      <c r="O1242" s="9" t="n">
        <v>8</v>
      </c>
      <c r="P1242" s="1">
        <f>ROUNDUP(790*(1-$F$3),2)</f>
        <v/>
      </c>
      <c r="Q1242" s="1" t="inlineStr">
        <is>
          <t> </t>
        </is>
      </c>
      <c r="R1242" s="1" t="inlineStr">
        <is>
          <t>978-5-0058-0860-8</t>
        </is>
      </c>
      <c r="S1242" s="1" t="inlineStr">
        <is>
          <t>9785005808608</t>
        </is>
      </c>
      <c r="T1242" s="9" t="n">
        <v>22</v>
      </c>
      <c r="U1242" s="1">
        <f>ROUNDUP(647.54*(1-$F$3),2)</f>
        <v/>
      </c>
      <c r="V1242" s="1" t="n">
        <v>315</v>
      </c>
      <c r="Y1242" s="1" t="inlineStr">
        <is>
          <t>Лев в долине</t>
        </is>
      </c>
      <c r="Z1242" s="1" t="inlineStr">
        <is>
          <t>18+</t>
        </is>
      </c>
      <c r="AA1242" s="12" t="n">
        <v>46239</v>
      </c>
      <c r="AB1242" s="1" t="inlineStr">
        <is>
          <t>Художественная литература</t>
        </is>
      </c>
      <c r="AC1242" s="1" t="inlineStr">
        <is>
          <t>Детективы. Боевики. Триллеры</t>
        </is>
      </c>
      <c r="AD1242" s="1" t="inlineStr">
        <is>
          <t>Зарубежный детектив</t>
        </is>
      </c>
      <c r="AE1242" s="1" t="inlineStr">
        <is>
          <t>офсетная</t>
        </is>
      </c>
      <c r="AG1242" s="1" t="n">
        <v>12230870</v>
      </c>
      <c r="AI1242" s="1" t="inlineStr">
        <is>
          <t>4901990000</t>
        </is>
      </c>
      <c r="AJ1242" s="1" t="inlineStr">
        <is>
          <t>Зпв</t>
        </is>
      </c>
    </row>
    <row r="1243" customFormat="1" s="1">
      <c r="C1243" s="1" t="inlineStr">
        <is>
          <t xml:space="preserve">11964360            </t>
        </is>
      </c>
      <c r="D1243" s="1" t="inlineStr">
        <is>
          <t>Камин: классические детективы</t>
        </is>
      </c>
      <c r="E1243" s="1" t="inlineStr">
        <is>
          <t>Неугомонная мумия. Питерс Э.</t>
        </is>
      </c>
      <c r="F1243" s="13" t="inlineStr">
        <is>
          <t>См.обл.</t>
        </is>
      </c>
      <c r="G1243" s="1" t="inlineStr">
        <is>
          <t>Питерс Э.</t>
        </is>
      </c>
      <c r="H1243" s="1" t="inlineStr">
        <is>
          <t>76х100/32</t>
        </is>
      </c>
      <c r="I1243" s="1" t="n">
        <v>480</v>
      </c>
      <c r="J1243" s="1" t="inlineStr">
        <is>
          <t>Дом историй</t>
        </is>
      </c>
      <c r="K1243" s="1" t="inlineStr">
        <is>
          <t>Эвербук</t>
        </is>
      </c>
      <c r="M1243" s="1" t="inlineStr">
        <is>
          <t>2026</t>
        </is>
      </c>
      <c r="N1243" s="1" t="inlineStr">
        <is>
          <t>О</t>
        </is>
      </c>
      <c r="O1243" s="9" t="n">
        <v>12</v>
      </c>
      <c r="P1243" s="1">
        <f>ROUNDUP(760*(1-$F$3),2)</f>
        <v/>
      </c>
      <c r="Q1243" s="1" t="inlineStr">
        <is>
          <t> </t>
        </is>
      </c>
      <c r="R1243" s="1" t="inlineStr">
        <is>
          <t>978-5-0058-0857-8</t>
        </is>
      </c>
      <c r="S1243" s="1" t="inlineStr">
        <is>
          <t>9785005808578</t>
        </is>
      </c>
      <c r="T1243" s="9" t="n">
        <v>22</v>
      </c>
      <c r="U1243" s="1">
        <f>ROUNDUP(622.95*(1-$F$3),2)</f>
        <v/>
      </c>
      <c r="V1243" s="1" t="n">
        <v>297</v>
      </c>
      <c r="Y1243" s="1" t="inlineStr">
        <is>
          <t>Неугомонная мумия</t>
        </is>
      </c>
      <c r="Z1243" s="1" t="inlineStr">
        <is>
          <t>18+</t>
        </is>
      </c>
      <c r="AA1243" s="12" t="n">
        <v>46017</v>
      </c>
      <c r="AB1243" s="1" t="inlineStr">
        <is>
          <t>Художественная литература</t>
        </is>
      </c>
      <c r="AC1243" s="1" t="inlineStr">
        <is>
          <t>Детективы. Боевики. Триллеры</t>
        </is>
      </c>
      <c r="AD1243" s="1" t="inlineStr">
        <is>
          <t>Зарубежный детектив</t>
        </is>
      </c>
      <c r="AE1243" s="1" t="inlineStr">
        <is>
          <t>офсетная</t>
        </is>
      </c>
      <c r="AG1243" s="1" t="n">
        <v>11964360</v>
      </c>
      <c r="AI1243" s="1" t="inlineStr">
        <is>
          <t>4901990000</t>
        </is>
      </c>
      <c r="AJ1243" s="1" t="inlineStr">
        <is>
          <t>Зпв</t>
        </is>
      </c>
    </row>
    <row r="1244" customFormat="1" s="1">
      <c r="C1244" s="1" t="inlineStr">
        <is>
          <t xml:space="preserve">11779550            </t>
        </is>
      </c>
      <c r="D1244" s="1" t="inlineStr">
        <is>
          <t>Камин: классические детективы</t>
        </is>
      </c>
      <c r="E1244" s="1" t="inlineStr">
        <is>
          <t>Проклятие фараона. Питерс Э.</t>
        </is>
      </c>
      <c r="F1244" s="13" t="inlineStr">
        <is>
          <t>См.обл.</t>
        </is>
      </c>
      <c r="G1244" s="1" t="inlineStr">
        <is>
          <t>Питерс Э.</t>
        </is>
      </c>
      <c r="H1244" s="1" t="inlineStr">
        <is>
          <t>76х100/32</t>
        </is>
      </c>
      <c r="I1244" s="1" t="n">
        <v>480</v>
      </c>
      <c r="J1244" s="1" t="inlineStr">
        <is>
          <t>Дом историй</t>
        </is>
      </c>
      <c r="K1244" s="1" t="inlineStr">
        <is>
          <t>Эвербук</t>
        </is>
      </c>
      <c r="M1244" s="1" t="inlineStr">
        <is>
          <t>2025</t>
        </is>
      </c>
      <c r="N1244" s="1" t="inlineStr">
        <is>
          <t>О</t>
        </is>
      </c>
      <c r="O1244" s="9" t="n">
        <v>10</v>
      </c>
      <c r="P1244" s="1">
        <f>ROUNDUP(720*(1-$F$3),2)</f>
        <v/>
      </c>
      <c r="Q1244" s="1" t="inlineStr">
        <is>
          <t> </t>
        </is>
      </c>
      <c r="R1244" s="1" t="inlineStr">
        <is>
          <t>978-5-0058-0854-7</t>
        </is>
      </c>
      <c r="S1244" s="1" t="inlineStr">
        <is>
          <t>9785005808547</t>
        </is>
      </c>
      <c r="T1244" s="9" t="n">
        <v>10</v>
      </c>
      <c r="U1244" s="1">
        <f>ROUNDUP(654.55*(1-$F$3),2)</f>
        <v/>
      </c>
      <c r="V1244" s="1" t="n">
        <v>311</v>
      </c>
      <c r="Y1244" s="1" t="inlineStr">
        <is>
          <t>Проклятие фараона</t>
        </is>
      </c>
      <c r="Z1244" s="1" t="inlineStr">
        <is>
          <t>16+</t>
        </is>
      </c>
      <c r="AA1244" s="12" t="n">
        <v>45847</v>
      </c>
      <c r="AB1244" s="1" t="inlineStr">
        <is>
          <t>Художественная литература</t>
        </is>
      </c>
      <c r="AC1244" s="1" t="inlineStr">
        <is>
          <t>Детективы. Боевики. Триллеры</t>
        </is>
      </c>
      <c r="AD1244" s="1" t="inlineStr">
        <is>
          <t>Зарубежный детектив</t>
        </is>
      </c>
      <c r="AE1244" s="1" t="inlineStr">
        <is>
          <t>офсетная</t>
        </is>
      </c>
      <c r="AG1244" s="1" t="n">
        <v>11779550</v>
      </c>
      <c r="AI1244" s="1" t="inlineStr">
        <is>
          <t>4901990000</t>
        </is>
      </c>
      <c r="AJ1244" s="1" t="inlineStr">
        <is>
          <t>Зпв</t>
        </is>
      </c>
    </row>
    <row r="1245" customFormat="1" s="11">
      <c r="A1245" s="11" t="inlineStr">
        <is>
          <t>нов</t>
        </is>
      </c>
      <c r="C1245" s="11" t="inlineStr">
        <is>
          <t xml:space="preserve">12256990            </t>
        </is>
      </c>
      <c r="D1245" s="11" t="inlineStr">
        <is>
          <t>Камин: классические детективы</t>
        </is>
      </c>
      <c r="E1245" s="11" t="inlineStr">
        <is>
          <t>Рассказ книготорговца. Суинфен Э</t>
        </is>
      </c>
      <c r="F1245" s="14" t="inlineStr">
        <is>
          <t>См.обл.</t>
        </is>
      </c>
      <c r="G1245" s="11" t="inlineStr">
        <is>
          <t>Суинфен Э</t>
        </is>
      </c>
      <c r="H1245" s="11" t="inlineStr">
        <is>
          <t>60х90/16</t>
        </is>
      </c>
      <c r="I1245" s="11" t="n">
        <v>368</v>
      </c>
      <c r="J1245" s="11" t="inlineStr">
        <is>
          <t>Дом историй</t>
        </is>
      </c>
      <c r="K1245" s="11" t="inlineStr">
        <is>
          <t>Эвербук</t>
        </is>
      </c>
      <c r="M1245" s="11" t="inlineStr">
        <is>
          <t>2026</t>
        </is>
      </c>
      <c r="N1245" s="11" t="inlineStr">
        <is>
          <t>О</t>
        </is>
      </c>
      <c r="O1245" s="26" t="n">
        <v>12</v>
      </c>
      <c r="P1245" s="11">
        <f>ROUNDUP(790*(1-$F$3),2)</f>
        <v/>
      </c>
      <c r="Q1245" s="11" t="inlineStr">
        <is>
          <t> </t>
        </is>
      </c>
      <c r="R1245" s="11" t="inlineStr">
        <is>
          <t>978-5-0058-1141-7</t>
        </is>
      </c>
      <c r="S1245" s="11" t="inlineStr">
        <is>
          <t>9785005811417</t>
        </is>
      </c>
      <c r="T1245" s="26" t="n">
        <v>10</v>
      </c>
      <c r="U1245" s="11">
        <f>ROUNDUP(718.18*(1-$F$3),2)</f>
        <v/>
      </c>
      <c r="V1245" s="11" t="n">
        <v>329</v>
      </c>
      <c r="Y1245" s="11" t="inlineStr">
        <is>
          <t>Рассказ книготорговца</t>
        </is>
      </c>
      <c r="Z1245" s="11" t="inlineStr">
        <is>
          <t>16+</t>
        </is>
      </c>
      <c r="AA1245" s="15" t="n">
        <v>46268</v>
      </c>
      <c r="AB1245" s="11" t="inlineStr">
        <is>
          <t>Художественная литература</t>
        </is>
      </c>
      <c r="AC1245" s="11" t="inlineStr">
        <is>
          <t>Детективы. Боевики. Триллеры</t>
        </is>
      </c>
      <c r="AD1245" s="11" t="inlineStr">
        <is>
          <t>Зарубежный детектив</t>
        </is>
      </c>
      <c r="AE1245" s="11" t="inlineStr">
        <is>
          <t>офсетная</t>
        </is>
      </c>
      <c r="AG1245" s="11" t="n">
        <v>12256990</v>
      </c>
      <c r="AI1245" s="11" t="inlineStr">
        <is>
          <t>4901990000</t>
        </is>
      </c>
    </row>
    <row r="1246" customFormat="1" s="1">
      <c r="C1246" s="1" t="inlineStr">
        <is>
          <t xml:space="preserve">11541490            </t>
        </is>
      </c>
      <c r="D1246" s="1" t="inlineStr">
        <is>
          <t>Камин: классические детективы</t>
        </is>
      </c>
      <c r="E1246" s="1" t="inlineStr">
        <is>
          <t>Руководство для начинающего детектива-реставратора. Экклстон М.</t>
        </is>
      </c>
      <c r="F1246" s="13" t="inlineStr">
        <is>
          <t>См.обл.</t>
        </is>
      </c>
      <c r="G1246" s="1" t="inlineStr">
        <is>
          <t>Экклстон М.</t>
        </is>
      </c>
      <c r="H1246" s="1" t="inlineStr">
        <is>
          <t>84х108/32</t>
        </is>
      </c>
      <c r="I1246" s="1" t="n">
        <v>432</v>
      </c>
      <c r="J1246" s="1" t="inlineStr">
        <is>
          <t>Дом историй</t>
        </is>
      </c>
      <c r="K1246" s="1" t="inlineStr">
        <is>
          <t>Эвербук</t>
        </is>
      </c>
      <c r="M1246" s="1" t="inlineStr">
        <is>
          <t>2026</t>
        </is>
      </c>
      <c r="N1246" s="1" t="inlineStr">
        <is>
          <t>О</t>
        </is>
      </c>
      <c r="O1246" s="9" t="n">
        <v>10</v>
      </c>
      <c r="P1246" s="1">
        <f>ROUNDUP(1100*(1-$F$3),2)</f>
        <v/>
      </c>
      <c r="Q1246" s="1" t="inlineStr">
        <is>
          <t> </t>
        </is>
      </c>
      <c r="R1246" s="1" t="inlineStr">
        <is>
          <t>978-5-0058-0420-4</t>
        </is>
      </c>
      <c r="S1246" s="1" t="inlineStr">
        <is>
          <t>9785005804204</t>
        </is>
      </c>
      <c r="T1246" s="9" t="n">
        <v>10</v>
      </c>
      <c r="U1246" s="1">
        <f>ROUNDUP(1000*(1-$F$3),2)</f>
        <v/>
      </c>
      <c r="V1246" s="1" t="n">
        <v>375</v>
      </c>
      <c r="Y1246" s="1" t="inlineStr">
        <is>
          <t>Руководство для начинающего детектива-реставратора</t>
        </is>
      </c>
      <c r="Z1246" s="1" t="inlineStr">
        <is>
          <t>16+</t>
        </is>
      </c>
      <c r="AA1246" s="12" t="n">
        <v>45603</v>
      </c>
      <c r="AB1246" s="1" t="inlineStr">
        <is>
          <t>Художественная литература</t>
        </is>
      </c>
      <c r="AC1246" s="1" t="inlineStr">
        <is>
          <t>Детективы. Боевики. Триллеры</t>
        </is>
      </c>
      <c r="AD1246" s="1" t="inlineStr">
        <is>
          <t>Зарубежный детектив</t>
        </is>
      </c>
      <c r="AE1246" s="1" t="inlineStr">
        <is>
          <t>офсетная</t>
        </is>
      </c>
      <c r="AG1246" s="1" t="n">
        <v>11541490</v>
      </c>
      <c r="AI1246" s="1" t="inlineStr">
        <is>
          <t>4901990000</t>
        </is>
      </c>
    </row>
    <row r="1247" customFormat="1" s="1">
      <c r="C1247" s="1" t="inlineStr">
        <is>
          <t xml:space="preserve">12082440            </t>
        </is>
      </c>
      <c r="D1247" s="1" t="inlineStr">
        <is>
          <t>Камин: классические детективы</t>
        </is>
      </c>
      <c r="E1247" s="1" t="inlineStr">
        <is>
          <t>Смерть идеальной женушки. Битон М.С.</t>
        </is>
      </c>
      <c r="F1247" s="13" t="inlineStr">
        <is>
          <t>См.обл.</t>
        </is>
      </c>
      <c r="G1247" s="1" t="inlineStr">
        <is>
          <t>Битон М.С.</t>
        </is>
      </c>
      <c r="H1247" s="1" t="inlineStr">
        <is>
          <t>84х108/32</t>
        </is>
      </c>
      <c r="I1247" s="1" t="n">
        <v>208</v>
      </c>
      <c r="J1247" s="1" t="inlineStr">
        <is>
          <t>Дом историй</t>
        </is>
      </c>
      <c r="K1247" s="1" t="inlineStr">
        <is>
          <t>Эвербук</t>
        </is>
      </c>
      <c r="M1247" s="1" t="inlineStr">
        <is>
          <t>2026</t>
        </is>
      </c>
      <c r="N1247" s="1" t="inlineStr">
        <is>
          <t>П</t>
        </is>
      </c>
      <c r="O1247" s="9" t="n">
        <v>12</v>
      </c>
      <c r="P1247" s="1">
        <f>ROUNDUP(790*(1-$F$3),2)</f>
        <v/>
      </c>
      <c r="Q1247" s="1" t="inlineStr">
        <is>
          <t> </t>
        </is>
      </c>
      <c r="R1247" s="1" t="inlineStr">
        <is>
          <t>978-5-0058-0958-2</t>
        </is>
      </c>
      <c r="S1247" s="1" t="inlineStr">
        <is>
          <t>9785005809582</t>
        </is>
      </c>
      <c r="T1247" s="9" t="n">
        <v>22</v>
      </c>
      <c r="U1247" s="1">
        <f>ROUNDUP(647.54*(1-$F$3),2)</f>
        <v/>
      </c>
      <c r="V1247" s="1" t="n">
        <v>239</v>
      </c>
      <c r="Y1247" s="1" t="inlineStr">
        <is>
          <t>Смерть идеальной женушки</t>
        </is>
      </c>
      <c r="Z1247" s="1" t="inlineStr">
        <is>
          <t>18+</t>
        </is>
      </c>
      <c r="AA1247" s="12" t="n">
        <v>46132</v>
      </c>
      <c r="AB1247" s="1" t="inlineStr">
        <is>
          <t>Художественная литература</t>
        </is>
      </c>
      <c r="AC1247" s="1" t="inlineStr">
        <is>
          <t>Детективы. Боевики. Триллеры</t>
        </is>
      </c>
      <c r="AD1247" s="1" t="inlineStr">
        <is>
          <t>Зарубежный детектив</t>
        </is>
      </c>
      <c r="AE1247" s="1" t="inlineStr">
        <is>
          <t>офсетная</t>
        </is>
      </c>
      <c r="AG1247" s="1" t="n">
        <v>12082440</v>
      </c>
      <c r="AI1247" s="1" t="inlineStr">
        <is>
          <t>4901990000</t>
        </is>
      </c>
      <c r="AJ1247" s="1" t="inlineStr">
        <is>
          <t>Зпв</t>
        </is>
      </c>
    </row>
    <row r="1248" customFormat="1" s="1">
      <c r="C1248" s="1" t="inlineStr">
        <is>
          <t xml:space="preserve">11763970            </t>
        </is>
      </c>
      <c r="D1248" s="1" t="inlineStr">
        <is>
          <t>Камин: классические детективы</t>
        </is>
      </c>
      <c r="E1248" s="1" t="inlineStr">
        <is>
          <t>Смерть негодяя. Битон М.С.</t>
        </is>
      </c>
      <c r="F1248" s="13" t="inlineStr">
        <is>
          <t>См.обл.</t>
        </is>
      </c>
      <c r="G1248" s="1" t="inlineStr">
        <is>
          <t>Битон М.С.</t>
        </is>
      </c>
      <c r="H1248" s="1" t="inlineStr">
        <is>
          <t>84х108/32</t>
        </is>
      </c>
      <c r="I1248" s="1" t="n">
        <v>256</v>
      </c>
      <c r="J1248" s="1" t="inlineStr">
        <is>
          <t>Дом историй</t>
        </is>
      </c>
      <c r="K1248" s="1" t="inlineStr">
        <is>
          <t>Эвербук</t>
        </is>
      </c>
      <c r="M1248" s="1" t="inlineStr">
        <is>
          <t>2025</t>
        </is>
      </c>
      <c r="N1248" s="1" t="inlineStr">
        <is>
          <t>П</t>
        </is>
      </c>
      <c r="O1248" s="9" t="n">
        <v>10</v>
      </c>
      <c r="P1248" s="1">
        <f>ROUNDUP(620*(1-$F$3),2)</f>
        <v/>
      </c>
      <c r="Q1248" s="1" t="inlineStr">
        <is>
          <t> </t>
        </is>
      </c>
      <c r="R1248" s="1" t="inlineStr">
        <is>
          <t>978-5-0058-0831-8</t>
        </is>
      </c>
      <c r="S1248" s="1" t="inlineStr">
        <is>
          <t>9785005808318</t>
        </is>
      </c>
      <c r="T1248" s="9" t="n">
        <v>10</v>
      </c>
      <c r="U1248" s="1">
        <f>ROUNDUP(563.64*(1-$F$3),2)</f>
        <v/>
      </c>
      <c r="V1248" s="1" t="n">
        <v>278</v>
      </c>
      <c r="Y1248" s="1" t="inlineStr">
        <is>
          <t>Смерть негодяя</t>
        </is>
      </c>
      <c r="Z1248" s="1" t="inlineStr">
        <is>
          <t>16+</t>
        </is>
      </c>
      <c r="AA1248" s="12" t="n">
        <v>45853</v>
      </c>
      <c r="AB1248" s="1" t="inlineStr">
        <is>
          <t>Художественная литература</t>
        </is>
      </c>
      <c r="AC1248" s="1" t="inlineStr">
        <is>
          <t>Детективы. Боевики. Триллеры</t>
        </is>
      </c>
      <c r="AD1248" s="1" t="inlineStr">
        <is>
          <t>Зарубежный детектив</t>
        </is>
      </c>
      <c r="AE1248" s="1" t="inlineStr">
        <is>
          <t>офсетная</t>
        </is>
      </c>
      <c r="AG1248" s="1" t="n">
        <v>11763970</v>
      </c>
      <c r="AI1248" s="1" t="inlineStr">
        <is>
          <t>4901990000</t>
        </is>
      </c>
    </row>
    <row r="1249" customFormat="1" s="1">
      <c r="C1249" s="1" t="inlineStr">
        <is>
          <t xml:space="preserve">11618830            </t>
        </is>
      </c>
      <c r="D1249" s="1" t="inlineStr">
        <is>
          <t>Камин: классические детективы</t>
        </is>
      </c>
      <c r="E1249" s="1" t="inlineStr">
        <is>
          <t>Смерть сплетницы. Битон М.С.</t>
        </is>
      </c>
      <c r="F1249" s="13" t="inlineStr">
        <is>
          <t>См.обл.</t>
        </is>
      </c>
      <c r="G1249" s="1" t="inlineStr">
        <is>
          <t>Битон М.С.</t>
        </is>
      </c>
      <c r="H1249" s="1" t="inlineStr">
        <is>
          <t>84х108/32</t>
        </is>
      </c>
      <c r="I1249" s="1" t="n">
        <v>224</v>
      </c>
      <c r="J1249" s="1" t="inlineStr">
        <is>
          <t>Дом историй</t>
        </is>
      </c>
      <c r="K1249" s="1" t="inlineStr">
        <is>
          <t>Эвербук</t>
        </is>
      </c>
      <c r="M1249" s="1" t="inlineStr">
        <is>
          <t>2025</t>
        </is>
      </c>
      <c r="N1249" s="1" t="inlineStr">
        <is>
          <t>П</t>
        </is>
      </c>
      <c r="O1249" s="9" t="n">
        <v>10</v>
      </c>
      <c r="P1249" s="1">
        <f>ROUNDUP(720*(1-$F$3),2)</f>
        <v/>
      </c>
      <c r="Q1249" s="1" t="inlineStr">
        <is>
          <t> </t>
        </is>
      </c>
      <c r="R1249" s="1" t="inlineStr">
        <is>
          <t>978-5-0058-0630-7</t>
        </is>
      </c>
      <c r="S1249" s="1" t="inlineStr">
        <is>
          <t>9785005806307</t>
        </is>
      </c>
      <c r="T1249" s="9" t="n">
        <v>10</v>
      </c>
      <c r="U1249" s="1">
        <f>ROUNDUP(654.55*(1-$F$3),2)</f>
        <v/>
      </c>
      <c r="V1249" s="1" t="n">
        <v>249</v>
      </c>
      <c r="Y1249" s="1" t="inlineStr">
        <is>
          <t>Смерть сплетницы</t>
        </is>
      </c>
      <c r="Z1249" s="1" t="inlineStr">
        <is>
          <t>16+</t>
        </is>
      </c>
      <c r="AA1249" s="12" t="n">
        <v>45698</v>
      </c>
      <c r="AB1249" s="1" t="inlineStr">
        <is>
          <t>Художественная литература</t>
        </is>
      </c>
      <c r="AC1249" s="1" t="inlineStr">
        <is>
          <t>Детективы. Боевики. Триллеры</t>
        </is>
      </c>
      <c r="AD1249" s="1" t="inlineStr">
        <is>
          <t>Зарубежный детектив</t>
        </is>
      </c>
      <c r="AE1249" s="1" t="inlineStr">
        <is>
          <t>офсетная</t>
        </is>
      </c>
      <c r="AG1249" s="1" t="n">
        <v>11618830</v>
      </c>
      <c r="AI1249" s="1" t="inlineStr">
        <is>
          <t>4901990000</t>
        </is>
      </c>
    </row>
    <row r="1250" customFormat="1" s="1">
      <c r="C1250" s="1" t="inlineStr">
        <is>
          <t xml:space="preserve">11934620            </t>
        </is>
      </c>
      <c r="D1250" s="1" t="inlineStr">
        <is>
          <t>Камин: классические детективы</t>
        </is>
      </c>
      <c r="E1250" s="1" t="inlineStr">
        <is>
          <t>Смерть чужака. Битон М.С.</t>
        </is>
      </c>
      <c r="F1250" s="13" t="inlineStr">
        <is>
          <t>См.обл.</t>
        </is>
      </c>
      <c r="G1250" s="1" t="inlineStr">
        <is>
          <t>Битон М.С.</t>
        </is>
      </c>
      <c r="H1250" s="1" t="inlineStr">
        <is>
          <t>84х108/32</t>
        </is>
      </c>
      <c r="I1250" s="1" t="n">
        <v>224</v>
      </c>
      <c r="J1250" s="1" t="inlineStr">
        <is>
          <t>Дом историй</t>
        </is>
      </c>
      <c r="K1250" s="1" t="inlineStr">
        <is>
          <t>Эвербук</t>
        </is>
      </c>
      <c r="M1250" s="1" t="inlineStr">
        <is>
          <t>2026</t>
        </is>
      </c>
      <c r="N1250" s="1" t="inlineStr">
        <is>
          <t>П</t>
        </is>
      </c>
      <c r="O1250" s="9" t="n">
        <v>10</v>
      </c>
      <c r="P1250" s="1">
        <f>ROUNDUP(600*(1-$F$3),2)</f>
        <v/>
      </c>
      <c r="Q1250" s="1" t="inlineStr">
        <is>
          <t> </t>
        </is>
      </c>
      <c r="R1250" s="1" t="inlineStr">
        <is>
          <t>978-5-0058-0849-3</t>
        </is>
      </c>
      <c r="S1250" s="1" t="inlineStr">
        <is>
          <t>9785005808493</t>
        </is>
      </c>
      <c r="T1250" s="9" t="n">
        <v>10</v>
      </c>
      <c r="U1250" s="1">
        <f>ROUNDUP(545.45*(1-$F$3),2)</f>
        <v/>
      </c>
      <c r="V1250" s="1" t="n">
        <v>259</v>
      </c>
      <c r="Y1250" s="1" t="inlineStr">
        <is>
          <t>Смерть чужака</t>
        </is>
      </c>
      <c r="Z1250" s="1" t="inlineStr">
        <is>
          <t>16+</t>
        </is>
      </c>
      <c r="AA1250" s="12" t="n">
        <v>45993</v>
      </c>
      <c r="AB1250" s="1" t="inlineStr">
        <is>
          <t>Художественная литература</t>
        </is>
      </c>
      <c r="AC1250" s="1" t="inlineStr">
        <is>
          <t>Детективы. Боевики. Триллеры</t>
        </is>
      </c>
      <c r="AD1250" s="1" t="inlineStr">
        <is>
          <t>Зарубежный детектив</t>
        </is>
      </c>
      <c r="AE1250" s="1" t="inlineStr">
        <is>
          <t>офсетная</t>
        </is>
      </c>
      <c r="AG1250" s="1" t="n">
        <v>11934620</v>
      </c>
      <c r="AI1250" s="1" t="inlineStr">
        <is>
          <t>4901990000</t>
        </is>
      </c>
    </row>
    <row r="1251" customFormat="1" s="1">
      <c r="C1251" s="1" t="inlineStr">
        <is>
          <t xml:space="preserve">12039030            </t>
        </is>
      </c>
      <c r="D1251" s="1" t="inlineStr">
        <is>
          <t>Камин: классические детективы</t>
        </is>
      </c>
      <c r="E1251" s="1" t="inlineStr">
        <is>
          <t>Темная ночь. Шелтон П.</t>
        </is>
      </c>
      <c r="F1251" s="13" t="inlineStr">
        <is>
          <t>См.обл.</t>
        </is>
      </c>
      <c r="G1251" s="1" t="inlineStr">
        <is>
          <t>Шелтон П.</t>
        </is>
      </c>
      <c r="H1251" s="1" t="inlineStr">
        <is>
          <t>84х108/32</t>
        </is>
      </c>
      <c r="I1251" s="1" t="n">
        <v>384</v>
      </c>
      <c r="J1251" s="1" t="inlineStr">
        <is>
          <t>Дом историй</t>
        </is>
      </c>
      <c r="K1251" s="1" t="inlineStr">
        <is>
          <t>Эвербук</t>
        </is>
      </c>
      <c r="M1251" s="1" t="inlineStr">
        <is>
          <t>2026</t>
        </is>
      </c>
      <c r="N1251" s="1" t="inlineStr">
        <is>
          <t>П</t>
        </is>
      </c>
      <c r="O1251" s="9" t="n">
        <v>10</v>
      </c>
      <c r="P1251" s="1">
        <f>ROUNDUP(950*(1-$F$3),2)</f>
        <v/>
      </c>
      <c r="Q1251" s="1" t="inlineStr">
        <is>
          <t> </t>
        </is>
      </c>
      <c r="R1251" s="1" t="inlineStr">
        <is>
          <t>978-5-0058-0909-4</t>
        </is>
      </c>
      <c r="S1251" s="1" t="inlineStr">
        <is>
          <t>9785005809094</t>
        </is>
      </c>
      <c r="T1251" s="9" t="n">
        <v>22</v>
      </c>
      <c r="U1251" s="1">
        <f>ROUNDUP(778.69*(1-$F$3),2)</f>
        <v/>
      </c>
      <c r="V1251" s="1" t="n">
        <v>389</v>
      </c>
      <c r="Y1251" s="1" t="inlineStr">
        <is>
          <t>Темная ночь</t>
        </is>
      </c>
      <c r="Z1251" s="1" t="inlineStr">
        <is>
          <t>18+</t>
        </is>
      </c>
      <c r="AA1251" s="12" t="n">
        <v>46097</v>
      </c>
      <c r="AB1251" s="1" t="inlineStr">
        <is>
          <t>Художественная литература</t>
        </is>
      </c>
      <c r="AC1251" s="1" t="inlineStr">
        <is>
          <t>Детективы. Боевики. Триллеры</t>
        </is>
      </c>
      <c r="AD1251" s="1" t="inlineStr">
        <is>
          <t>Зарубежный детектив</t>
        </is>
      </c>
      <c r="AE1251" s="1" t="inlineStr">
        <is>
          <t>офсетная</t>
        </is>
      </c>
      <c r="AG1251" s="1" t="n">
        <v>12039030</v>
      </c>
      <c r="AI1251" s="1" t="inlineStr">
        <is>
          <t>4901990000</t>
        </is>
      </c>
      <c r="AJ1251" s="1" t="inlineStr">
        <is>
          <t>Зпв</t>
        </is>
      </c>
    </row>
    <row r="1252" customFormat="1" s="1">
      <c r="C1252" s="1" t="inlineStr">
        <is>
          <t xml:space="preserve">11613560            </t>
        </is>
      </c>
      <c r="D1252" s="1" t="inlineStr">
        <is>
          <t>Камин: классические детективы</t>
        </is>
      </c>
      <c r="E1252" s="1" t="inlineStr">
        <is>
          <t>Тонкий лед. Шелтон П.</t>
        </is>
      </c>
      <c r="F1252" s="13" t="inlineStr">
        <is>
          <t>См.обл.</t>
        </is>
      </c>
      <c r="G1252" s="1" t="inlineStr">
        <is>
          <t>Шелтон П.</t>
        </is>
      </c>
      <c r="H1252" s="1" t="inlineStr">
        <is>
          <t>84х108/32</t>
        </is>
      </c>
      <c r="I1252" s="1" t="n">
        <v>416</v>
      </c>
      <c r="J1252" s="1" t="inlineStr">
        <is>
          <t>Дом историй</t>
        </is>
      </c>
      <c r="K1252" s="1" t="inlineStr">
        <is>
          <t>Эвербук</t>
        </is>
      </c>
      <c r="M1252" s="1" t="inlineStr">
        <is>
          <t>2025</t>
        </is>
      </c>
      <c r="N1252" s="1" t="inlineStr">
        <is>
          <t>П</t>
        </is>
      </c>
      <c r="O1252" s="9" t="n">
        <v>12</v>
      </c>
      <c r="P1252" s="1">
        <f>ROUNDUP(1250*(1-$F$3),2)</f>
        <v/>
      </c>
      <c r="Q1252" s="1" t="inlineStr">
        <is>
          <t> </t>
        </is>
      </c>
      <c r="R1252" s="1" t="inlineStr">
        <is>
          <t>978-5-0058-0626-0</t>
        </is>
      </c>
      <c r="S1252" s="1" t="inlineStr">
        <is>
          <t>9785005806260</t>
        </is>
      </c>
      <c r="T1252" s="9" t="n">
        <v>22</v>
      </c>
      <c r="U1252" s="1">
        <f>ROUNDUP(1024.59*(1-$F$3),2)</f>
        <v/>
      </c>
      <c r="V1252" s="1" t="n">
        <v>391</v>
      </c>
      <c r="Y1252" s="1" t="inlineStr">
        <is>
          <t>Тонкий лед</t>
        </is>
      </c>
      <c r="Z1252" s="1" t="inlineStr">
        <is>
          <t>18+</t>
        </is>
      </c>
      <c r="AA1252" s="12" t="n">
        <v>45683</v>
      </c>
      <c r="AB1252" s="1" t="inlineStr">
        <is>
          <t>Художественная литература</t>
        </is>
      </c>
      <c r="AC1252" s="1" t="inlineStr">
        <is>
          <t>Детективы. Боевики. Триллеры</t>
        </is>
      </c>
      <c r="AD1252" s="1" t="inlineStr">
        <is>
          <t>Зарубежный детектив</t>
        </is>
      </c>
      <c r="AE1252" s="1" t="inlineStr">
        <is>
          <t>офсетная</t>
        </is>
      </c>
      <c r="AG1252" s="1" t="n">
        <v>11613560</v>
      </c>
      <c r="AI1252" s="1" t="inlineStr">
        <is>
          <t>4901990000</t>
        </is>
      </c>
      <c r="AJ1252" s="1" t="inlineStr">
        <is>
          <t>Зпв</t>
        </is>
      </c>
    </row>
    <row r="1253" customFormat="1" s="1">
      <c r="C1253" s="1" t="inlineStr">
        <is>
          <t xml:space="preserve">11916080            </t>
        </is>
      </c>
      <c r="D1253" s="1" t="inlineStr">
        <is>
          <t>Камин: классические детективы</t>
        </is>
      </c>
      <c r="E1253" s="1" t="inlineStr">
        <is>
          <t>Холодный ветер. Шелтон П.</t>
        </is>
      </c>
      <c r="F1253" s="13" t="inlineStr">
        <is>
          <t>См.обл.</t>
        </is>
      </c>
      <c r="G1253" s="1" t="inlineStr">
        <is>
          <t>Шелтон П.</t>
        </is>
      </c>
      <c r="H1253" s="1" t="inlineStr">
        <is>
          <t>84х108/32</t>
        </is>
      </c>
      <c r="I1253" s="1" t="n">
        <v>416</v>
      </c>
      <c r="J1253" s="1" t="inlineStr">
        <is>
          <t>Дом историй</t>
        </is>
      </c>
      <c r="K1253" s="1" t="inlineStr">
        <is>
          <t>Эвербук</t>
        </is>
      </c>
      <c r="M1253" s="1" t="inlineStr">
        <is>
          <t>2026</t>
        </is>
      </c>
      <c r="N1253" s="1" t="inlineStr">
        <is>
          <t>П</t>
        </is>
      </c>
      <c r="O1253" s="9" t="n">
        <v>6</v>
      </c>
      <c r="P1253" s="1">
        <f>ROUNDUP(1200*(1-$F$3),2)</f>
        <v/>
      </c>
      <c r="Q1253" s="1" t="inlineStr">
        <is>
          <t> </t>
        </is>
      </c>
      <c r="R1253" s="1" t="inlineStr">
        <is>
          <t>978-5-0058-0843-1</t>
        </is>
      </c>
      <c r="S1253" s="1" t="inlineStr">
        <is>
          <t>9785005808431</t>
        </is>
      </c>
      <c r="T1253" s="9" t="n">
        <v>22</v>
      </c>
      <c r="U1253" s="1">
        <f>ROUNDUP(983.61*(1-$F$3),2)</f>
        <v/>
      </c>
      <c r="V1253" s="1" t="n">
        <v>408</v>
      </c>
      <c r="Y1253" s="1" t="inlineStr">
        <is>
          <t>Холодный ветер</t>
        </is>
      </c>
      <c r="Z1253" s="1" t="inlineStr">
        <is>
          <t>18+</t>
        </is>
      </c>
      <c r="AA1253" s="12" t="n">
        <v>45971</v>
      </c>
      <c r="AB1253" s="1" t="inlineStr">
        <is>
          <t>Художественная литература</t>
        </is>
      </c>
      <c r="AC1253" s="1" t="inlineStr">
        <is>
          <t>Детективы. Боевики. Триллеры</t>
        </is>
      </c>
      <c r="AD1253" s="1" t="inlineStr">
        <is>
          <t>Зарубежный детектив</t>
        </is>
      </c>
      <c r="AE1253" s="1" t="inlineStr">
        <is>
          <t>офсетная</t>
        </is>
      </c>
      <c r="AG1253" s="1" t="n">
        <v>11916080</v>
      </c>
      <c r="AI1253" s="1" t="inlineStr">
        <is>
          <t>4901990000</t>
        </is>
      </c>
      <c r="AJ1253" s="1" t="inlineStr">
        <is>
          <t>Зпв</t>
        </is>
      </c>
    </row>
    <row r="1254" customFormat="1" s="1">
      <c r="C1254" s="1" t="inlineStr">
        <is>
          <t xml:space="preserve">11540990            </t>
        </is>
      </c>
      <c r="D1254" s="1" t="inlineStr">
        <is>
          <t>Миры Спрэга де Кампа</t>
        </is>
      </c>
      <c r="E1254" s="1" t="inlineStr">
        <is>
          <t>Башня гоблинов. Кн. 1. Де Камп Л.С.</t>
        </is>
      </c>
      <c r="F1254" s="13" t="inlineStr">
        <is>
          <t>См.обл.</t>
        </is>
      </c>
      <c r="G1254" s="1" t="inlineStr">
        <is>
          <t>Де Камп Л.С.</t>
        </is>
      </c>
      <c r="H1254" s="1" t="inlineStr">
        <is>
          <t>84х108/32</t>
        </is>
      </c>
      <c r="I1254" s="1" t="n">
        <v>384</v>
      </c>
      <c r="J1254" s="1" t="inlineStr">
        <is>
          <t>Дом историй</t>
        </is>
      </c>
      <c r="K1254" s="1" t="inlineStr">
        <is>
          <t>Эвербук</t>
        </is>
      </c>
      <c r="M1254" s="1" t="inlineStr">
        <is>
          <t>2023</t>
        </is>
      </c>
      <c r="N1254" s="1" t="inlineStr">
        <is>
          <t>О</t>
        </is>
      </c>
      <c r="O1254" s="9" t="n">
        <v>4</v>
      </c>
      <c r="P1254" s="1">
        <f>ROUNDUP(760*(1-$F$3),2)</f>
        <v/>
      </c>
      <c r="Q1254" s="1" t="inlineStr">
        <is>
          <t> </t>
        </is>
      </c>
      <c r="R1254" s="1" t="inlineStr">
        <is>
          <t>978-5-0058-0166-1</t>
        </is>
      </c>
      <c r="S1254" s="1" t="inlineStr">
        <is>
          <t>9785005801661</t>
        </is>
      </c>
      <c r="T1254" s="9" t="n">
        <v>10</v>
      </c>
      <c r="U1254" s="1">
        <f>ROUNDUP(690.91*(1-$F$3),2)</f>
        <v/>
      </c>
      <c r="V1254" s="1" t="n">
        <v>305</v>
      </c>
      <c r="Y1254" s="1" t="inlineStr">
        <is>
          <t>Башня гоблинов. Кн. 1</t>
        </is>
      </c>
      <c r="Z1254" s="1" t="inlineStr">
        <is>
          <t>16+</t>
        </is>
      </c>
      <c r="AA1254" s="12" t="n">
        <v>45603</v>
      </c>
      <c r="AB1254" s="1" t="inlineStr">
        <is>
          <t>Художественная литература</t>
        </is>
      </c>
      <c r="AC1254" s="1" t="inlineStr">
        <is>
          <t>Фантастика. Мистика. Ужасы</t>
        </is>
      </c>
      <c r="AD1254" s="1" t="inlineStr">
        <is>
          <t>Фэнтези</t>
        </is>
      </c>
      <c r="AE1254" s="1" t="inlineStr">
        <is>
          <t>офсетная</t>
        </is>
      </c>
      <c r="AG1254" s="1" t="n">
        <v>11540990</v>
      </c>
      <c r="AI1254" s="1" t="inlineStr">
        <is>
          <t>4901990000</t>
        </is>
      </c>
    </row>
    <row r="1255" customFormat="1" s="1">
      <c r="C1255" s="1" t="inlineStr">
        <is>
          <t xml:space="preserve">11541000            </t>
        </is>
      </c>
      <c r="D1255" s="1" t="inlineStr">
        <is>
          <t>Миры Спрэга де Кампа</t>
        </is>
      </c>
      <c r="E1255" s="1" t="inlineStr">
        <is>
          <t>Башня гоблинов; Часы Ираза; Корона Ксилара; Уважаемый варвар; Демон, который ошибался (комплект из 5-ти книг). Де Камп Л.С.</t>
        </is>
      </c>
      <c r="F1255" s="13" t="inlineStr">
        <is>
          <t>См.обл.</t>
        </is>
      </c>
      <c r="G1255" s="1" t="inlineStr">
        <is>
          <t>Де Камп Л.С.</t>
        </is>
      </c>
      <c r="H1255" s="1" t="inlineStr">
        <is>
          <t>84х108/32</t>
        </is>
      </c>
      <c r="I1255" s="1" t="n">
        <v>1392</v>
      </c>
      <c r="J1255" s="1" t="inlineStr">
        <is>
          <t>Дом историй</t>
        </is>
      </c>
      <c r="K1255" s="1" t="inlineStr">
        <is>
          <t>Эвербук</t>
        </is>
      </c>
      <c r="M1255" s="1" t="inlineStr">
        <is>
          <t>2023</t>
        </is>
      </c>
      <c r="N1255" s="1" t="inlineStr">
        <is>
          <t>О</t>
        </is>
      </c>
      <c r="O1255" s="9" t="n"/>
      <c r="P1255" s="1">
        <f>ROUNDUP(3190*(1-$F$3),2)</f>
        <v/>
      </c>
      <c r="Q1255" s="1" t="inlineStr">
        <is>
          <t> </t>
        </is>
      </c>
      <c r="R1255" s="1" t="inlineStr">
        <is>
          <t>978-5-521-80759-8</t>
        </is>
      </c>
      <c r="S1255" s="1" t="inlineStr">
        <is>
          <t>9785521807598</t>
        </is>
      </c>
      <c r="T1255" s="9" t="n">
        <v>10</v>
      </c>
      <c r="U1255" s="1">
        <f>ROUNDUP(2900*(1-$F$3),2)</f>
        <v/>
      </c>
      <c r="V1255" s="1" t="n">
        <v>1145</v>
      </c>
      <c r="Y1255" s="1" t="inlineStr">
        <is>
          <t>Башня гоблинов; Часы Ираза; Корона Ксилара; Уважаемый варвар; Демон, который ошибался (комплект из 5-ти книг)</t>
        </is>
      </c>
      <c r="Z1255" s="1" t="inlineStr">
        <is>
          <t>16+</t>
        </is>
      </c>
      <c r="AA1255" s="12" t="n">
        <v>45603</v>
      </c>
      <c r="AB1255" s="1" t="inlineStr">
        <is>
          <t>Художественная литература</t>
        </is>
      </c>
      <c r="AC1255" s="1" t="inlineStr">
        <is>
          <t>Фантастика. Мистика. Ужасы</t>
        </is>
      </c>
      <c r="AD1255" s="1" t="inlineStr">
        <is>
          <t>Фэнтези</t>
        </is>
      </c>
      <c r="AE1255" s="1" t="inlineStr">
        <is>
          <t>офсетная</t>
        </is>
      </c>
      <c r="AG1255" s="1" t="n">
        <v>11541000</v>
      </c>
      <c r="AI1255" s="1" t="inlineStr">
        <is>
          <t>4901990000</t>
        </is>
      </c>
    </row>
    <row r="1256" customFormat="1" s="1">
      <c r="C1256" s="1" t="inlineStr">
        <is>
          <t xml:space="preserve">11540960            </t>
        </is>
      </c>
      <c r="D1256" s="1" t="inlineStr">
        <is>
          <t>Миры Спрэга де Кампа</t>
        </is>
      </c>
      <c r="E1256" s="1" t="inlineStr">
        <is>
          <t>Демон, который ошибался. Кн. 5. Де Камп Л.С.</t>
        </is>
      </c>
      <c r="F1256" s="13" t="inlineStr">
        <is>
          <t>См.обл.</t>
        </is>
      </c>
      <c r="G1256" s="1" t="inlineStr">
        <is>
          <t>Де Камп Л.С.</t>
        </is>
      </c>
      <c r="H1256" s="1" t="inlineStr">
        <is>
          <t>84х108/32</t>
        </is>
      </c>
      <c r="I1256" s="1" t="n">
        <v>224</v>
      </c>
      <c r="J1256" s="1" t="inlineStr">
        <is>
          <t>Дом историй</t>
        </is>
      </c>
      <c r="K1256" s="1" t="inlineStr">
        <is>
          <t>Эвербук</t>
        </is>
      </c>
      <c r="M1256" s="1" t="inlineStr">
        <is>
          <t>2023</t>
        </is>
      </c>
      <c r="N1256" s="1" t="inlineStr">
        <is>
          <t>О</t>
        </is>
      </c>
      <c r="O1256" s="9" t="n">
        <v>7</v>
      </c>
      <c r="P1256" s="1">
        <f>ROUNDUP(760*(1-$F$3),2)</f>
        <v/>
      </c>
      <c r="Q1256" s="1" t="inlineStr">
        <is>
          <t> </t>
        </is>
      </c>
      <c r="R1256" s="1" t="inlineStr">
        <is>
          <t>978-5-0058-0196-8</t>
        </is>
      </c>
      <c r="S1256" s="1" t="inlineStr">
        <is>
          <t>9785005801968</t>
        </is>
      </c>
      <c r="T1256" s="9" t="n">
        <v>10</v>
      </c>
      <c r="U1256" s="1">
        <f>ROUNDUP(690.91*(1-$F$3),2)</f>
        <v/>
      </c>
      <c r="V1256" s="1" t="n">
        <v>186</v>
      </c>
      <c r="Y1256" s="1" t="inlineStr">
        <is>
          <t>Демон, который ошибался. Кн. 5</t>
        </is>
      </c>
      <c r="Z1256" s="1" t="inlineStr">
        <is>
          <t>16+</t>
        </is>
      </c>
      <c r="AA1256" s="12" t="n">
        <v>45603</v>
      </c>
      <c r="AB1256" s="1" t="inlineStr">
        <is>
          <t>Художественная литература</t>
        </is>
      </c>
      <c r="AC1256" s="1" t="inlineStr">
        <is>
          <t>Фантастика. Мистика. Ужасы</t>
        </is>
      </c>
      <c r="AD1256" s="1" t="inlineStr">
        <is>
          <t>Фэнтези</t>
        </is>
      </c>
      <c r="AE1256" s="1" t="inlineStr">
        <is>
          <t>офсетная</t>
        </is>
      </c>
      <c r="AG1256" s="1" t="n">
        <v>11540960</v>
      </c>
      <c r="AI1256" s="1" t="inlineStr">
        <is>
          <t>4901990000</t>
        </is>
      </c>
      <c r="AJ1256" s="1" t="inlineStr">
        <is>
          <t>Зпв</t>
        </is>
      </c>
    </row>
    <row r="1257" customFormat="1" s="1">
      <c r="C1257" s="1" t="inlineStr">
        <is>
          <t xml:space="preserve">11540980            </t>
        </is>
      </c>
      <c r="D1257" s="1" t="inlineStr">
        <is>
          <t>Миры Спрэга де Кампа</t>
        </is>
      </c>
      <c r="E1257" s="1" t="inlineStr">
        <is>
          <t>Корона Ксилара. Кн. 3. Де Камп Л.С.</t>
        </is>
      </c>
      <c r="F1257" s="13" t="inlineStr">
        <is>
          <t>См.обл.</t>
        </is>
      </c>
      <c r="G1257" s="1" t="inlineStr">
        <is>
          <t>Де Камп Л.С.</t>
        </is>
      </c>
      <c r="H1257" s="1" t="inlineStr">
        <is>
          <t>84х108/32</t>
        </is>
      </c>
      <c r="I1257" s="1" t="n">
        <v>256</v>
      </c>
      <c r="J1257" s="1" t="inlineStr">
        <is>
          <t>Дом историй</t>
        </is>
      </c>
      <c r="K1257" s="1" t="inlineStr">
        <is>
          <t>Эвербук</t>
        </is>
      </c>
      <c r="M1257" s="1" t="inlineStr">
        <is>
          <t>2023</t>
        </is>
      </c>
      <c r="N1257" s="1" t="inlineStr">
        <is>
          <t>О</t>
        </is>
      </c>
      <c r="O1257" s="9" t="n">
        <v>6</v>
      </c>
      <c r="P1257" s="1">
        <f>ROUNDUP(760*(1-$F$3),2)</f>
        <v/>
      </c>
      <c r="Q1257" s="1" t="inlineStr">
        <is>
          <t> </t>
        </is>
      </c>
      <c r="R1257" s="1" t="inlineStr">
        <is>
          <t>978-5-0058-0168-5</t>
        </is>
      </c>
      <c r="S1257" s="1" t="inlineStr">
        <is>
          <t>9785005801685</t>
        </is>
      </c>
      <c r="T1257" s="9" t="n">
        <v>10</v>
      </c>
      <c r="U1257" s="1">
        <f>ROUNDUP(690.91*(1-$F$3),2)</f>
        <v/>
      </c>
      <c r="V1257" s="1" t="n">
        <v>211</v>
      </c>
      <c r="Y1257" s="1" t="inlineStr">
        <is>
          <t>Корона Ксилара. Кн. 3</t>
        </is>
      </c>
      <c r="Z1257" s="1" t="inlineStr">
        <is>
          <t>16+</t>
        </is>
      </c>
      <c r="AA1257" s="12" t="n">
        <v>45603</v>
      </c>
      <c r="AB1257" s="1" t="inlineStr">
        <is>
          <t>Художественная литература</t>
        </is>
      </c>
      <c r="AC1257" s="1" t="inlineStr">
        <is>
          <t>Фантастика. Мистика. Ужасы</t>
        </is>
      </c>
      <c r="AD1257" s="1" t="inlineStr">
        <is>
          <t>Фэнтези</t>
        </is>
      </c>
      <c r="AE1257" s="1" t="inlineStr">
        <is>
          <t>офсетная</t>
        </is>
      </c>
      <c r="AG1257" s="1" t="n">
        <v>11540980</v>
      </c>
      <c r="AI1257" s="1" t="inlineStr">
        <is>
          <t>4901990000</t>
        </is>
      </c>
      <c r="AJ1257" s="1" t="inlineStr">
        <is>
          <t>Зпв</t>
        </is>
      </c>
    </row>
    <row r="1258" customFormat="1" s="1">
      <c r="C1258" s="1" t="inlineStr">
        <is>
          <t xml:space="preserve">11540950            </t>
        </is>
      </c>
      <c r="D1258" s="1" t="inlineStr">
        <is>
          <t>Миры Спрэга де Кампа</t>
        </is>
      </c>
      <c r="E1258" s="1" t="inlineStr">
        <is>
          <t>Отвергнутая принцесса. Де Камп Л.С.</t>
        </is>
      </c>
      <c r="F1258" s="13" t="inlineStr">
        <is>
          <t>См.обл.</t>
        </is>
      </c>
      <c r="G1258" s="1" t="inlineStr">
        <is>
          <t>Де Камп Л.С.</t>
        </is>
      </c>
      <c r="H1258" s="1" t="inlineStr">
        <is>
          <t>84х108/32</t>
        </is>
      </c>
      <c r="I1258" s="1" t="n">
        <v>224</v>
      </c>
      <c r="J1258" s="1" t="inlineStr">
        <is>
          <t>Дом историй</t>
        </is>
      </c>
      <c r="K1258" s="1" t="inlineStr">
        <is>
          <t>Эвербук</t>
        </is>
      </c>
      <c r="M1258" s="1" t="inlineStr">
        <is>
          <t>2023</t>
        </is>
      </c>
      <c r="N1258" s="1" t="inlineStr">
        <is>
          <t>О</t>
        </is>
      </c>
      <c r="O1258" s="9" t="n">
        <v>7</v>
      </c>
      <c r="P1258" s="1">
        <f>ROUNDUP(760*(1-$F$3),2)</f>
        <v/>
      </c>
      <c r="Q1258" s="1" t="inlineStr">
        <is>
          <t> </t>
        </is>
      </c>
      <c r="R1258" s="1" t="inlineStr">
        <is>
          <t>978-5-0058-0218-7</t>
        </is>
      </c>
      <c r="S1258" s="1" t="inlineStr">
        <is>
          <t>9785005802187</t>
        </is>
      </c>
      <c r="T1258" s="9" t="n">
        <v>10</v>
      </c>
      <c r="U1258" s="1">
        <f>ROUNDUP(690.91*(1-$F$3),2)</f>
        <v/>
      </c>
      <c r="V1258" s="1" t="n">
        <v>184</v>
      </c>
      <c r="Y1258" s="1" t="inlineStr">
        <is>
          <t>Отвергнутая принцесса</t>
        </is>
      </c>
      <c r="Z1258" s="1" t="inlineStr">
        <is>
          <t>16+</t>
        </is>
      </c>
      <c r="AA1258" s="12" t="n">
        <v>45603</v>
      </c>
      <c r="AB1258" s="1" t="inlineStr">
        <is>
          <t>Художественная литература</t>
        </is>
      </c>
      <c r="AC1258" s="1" t="inlineStr">
        <is>
          <t>Фантастика. Мистика. Ужасы</t>
        </is>
      </c>
      <c r="AD1258" s="1" t="inlineStr">
        <is>
          <t>Фэнтези</t>
        </is>
      </c>
      <c r="AE1258" s="1" t="inlineStr">
        <is>
          <t>офсетная</t>
        </is>
      </c>
      <c r="AG1258" s="1" t="n">
        <v>11540950</v>
      </c>
      <c r="AI1258" s="1" t="inlineStr">
        <is>
          <t>4901990000</t>
        </is>
      </c>
    </row>
    <row r="1259" customFormat="1" s="1">
      <c r="C1259" s="1" t="inlineStr">
        <is>
          <t xml:space="preserve">11540970            </t>
        </is>
      </c>
      <c r="D1259" s="1" t="inlineStr">
        <is>
          <t>Миры Спрэга де Кампа</t>
        </is>
      </c>
      <c r="E1259" s="1" t="inlineStr">
        <is>
          <t>Уважаемый варвар. Кн. 4. Де Камп Л.С.</t>
        </is>
      </c>
      <c r="F1259" s="13" t="inlineStr">
        <is>
          <t>См.обл.</t>
        </is>
      </c>
      <c r="G1259" s="1" t="inlineStr">
        <is>
          <t>Де Камп Л.С.</t>
        </is>
      </c>
      <c r="H1259" s="1" t="inlineStr">
        <is>
          <t>84х108/32</t>
        </is>
      </c>
      <c r="I1259" s="1" t="n">
        <v>304</v>
      </c>
      <c r="J1259" s="1" t="inlineStr">
        <is>
          <t>Дом историй</t>
        </is>
      </c>
      <c r="K1259" s="1" t="inlineStr">
        <is>
          <t>Эвербук</t>
        </is>
      </c>
      <c r="M1259" s="1" t="inlineStr">
        <is>
          <t>2023</t>
        </is>
      </c>
      <c r="N1259" s="1" t="inlineStr">
        <is>
          <t>О</t>
        </is>
      </c>
      <c r="O1259" s="9" t="n">
        <v>5</v>
      </c>
      <c r="P1259" s="1">
        <f>ROUNDUP(760*(1-$F$3),2)</f>
        <v/>
      </c>
      <c r="Q1259" s="1" t="inlineStr">
        <is>
          <t> </t>
        </is>
      </c>
      <c r="R1259" s="1" t="inlineStr">
        <is>
          <t>978-5-0058-0195-1</t>
        </is>
      </c>
      <c r="S1259" s="1" t="inlineStr">
        <is>
          <t>9785005801951</t>
        </is>
      </c>
      <c r="T1259" s="9" t="n">
        <v>10</v>
      </c>
      <c r="U1259" s="1">
        <f>ROUNDUP(690.91*(1-$F$3),2)</f>
        <v/>
      </c>
      <c r="V1259" s="1" t="n">
        <v>248</v>
      </c>
      <c r="Y1259" s="1" t="inlineStr">
        <is>
          <t>Уважаемый варвар. Кн. 4</t>
        </is>
      </c>
      <c r="Z1259" s="1" t="inlineStr">
        <is>
          <t>16+</t>
        </is>
      </c>
      <c r="AA1259" s="12" t="n">
        <v>45603</v>
      </c>
      <c r="AB1259" s="1" t="inlineStr">
        <is>
          <t>Художественная литература</t>
        </is>
      </c>
      <c r="AC1259" s="1" t="inlineStr">
        <is>
          <t>Фантастика. Мистика. Ужасы</t>
        </is>
      </c>
      <c r="AD1259" s="1" t="inlineStr">
        <is>
          <t>Фэнтези</t>
        </is>
      </c>
      <c r="AE1259" s="1" t="inlineStr">
        <is>
          <t>офсетная</t>
        </is>
      </c>
      <c r="AG1259" s="1" t="n">
        <v>11540970</v>
      </c>
      <c r="AI1259" s="1" t="inlineStr">
        <is>
          <t>4901990000</t>
        </is>
      </c>
    </row>
    <row r="1260" customFormat="1" s="1">
      <c r="C1260" s="1" t="inlineStr">
        <is>
          <t xml:space="preserve">11540940            </t>
        </is>
      </c>
      <c r="D1260" s="1" t="inlineStr">
        <is>
          <t>Миры Спрэга де Кампа</t>
        </is>
      </c>
      <c r="E1260" s="1" t="inlineStr">
        <is>
          <t>Часы Ираза. Кн. 2. Де Камп Л.С.</t>
        </is>
      </c>
      <c r="F1260" s="13" t="inlineStr">
        <is>
          <t>См.обл.</t>
        </is>
      </c>
      <c r="G1260" s="1" t="inlineStr">
        <is>
          <t>Де Камп Л.С.</t>
        </is>
      </c>
      <c r="H1260" s="1" t="inlineStr">
        <is>
          <t>84х108/32</t>
        </is>
      </c>
      <c r="I1260" s="1" t="n">
        <v>224</v>
      </c>
      <c r="J1260" s="1" t="inlineStr">
        <is>
          <t>Дом историй</t>
        </is>
      </c>
      <c r="K1260" s="1" t="inlineStr">
        <is>
          <t>Эвербук</t>
        </is>
      </c>
      <c r="M1260" s="1" t="inlineStr">
        <is>
          <t>2023</t>
        </is>
      </c>
      <c r="N1260" s="1" t="inlineStr">
        <is>
          <t>О</t>
        </is>
      </c>
      <c r="O1260" s="9" t="n">
        <v>7</v>
      </c>
      <c r="P1260" s="1">
        <f>ROUNDUP(760*(1-$F$3),2)</f>
        <v/>
      </c>
      <c r="Q1260" s="1" t="inlineStr">
        <is>
          <t> </t>
        </is>
      </c>
      <c r="R1260" s="1" t="inlineStr">
        <is>
          <t>978-5-0058-0167-8</t>
        </is>
      </c>
      <c r="S1260" s="1" t="inlineStr">
        <is>
          <t>9785005801678</t>
        </is>
      </c>
      <c r="T1260" s="9" t="n">
        <v>10</v>
      </c>
      <c r="U1260" s="1">
        <f>ROUNDUP(690.91*(1-$F$3),2)</f>
        <v/>
      </c>
      <c r="V1260" s="1" t="n">
        <v>185</v>
      </c>
      <c r="Y1260" s="1" t="inlineStr">
        <is>
          <t>Часы Ираза. Кн. 2</t>
        </is>
      </c>
      <c r="Z1260" s="1" t="inlineStr">
        <is>
          <t>16+</t>
        </is>
      </c>
      <c r="AA1260" s="12" t="n">
        <v>45603</v>
      </c>
      <c r="AB1260" s="1" t="inlineStr">
        <is>
          <t>Художественная литература</t>
        </is>
      </c>
      <c r="AC1260" s="1" t="inlineStr">
        <is>
          <t>Фантастика. Мистика. Ужасы</t>
        </is>
      </c>
      <c r="AD1260" s="1" t="inlineStr">
        <is>
          <t>Фэнтези</t>
        </is>
      </c>
      <c r="AE1260" s="1" t="inlineStr">
        <is>
          <t>офсетная</t>
        </is>
      </c>
      <c r="AG1260" s="1" t="n">
        <v>11540940</v>
      </c>
      <c r="AI1260" s="1" t="inlineStr">
        <is>
          <t>4901990000</t>
        </is>
      </c>
    </row>
    <row r="1261" customFormat="1" s="1">
      <c r="C1261" s="1" t="inlineStr">
        <is>
          <t xml:space="preserve">11688440            </t>
        </is>
      </c>
      <c r="D1261" s="1" t="inlineStr">
        <is>
          <t>Миры Шеннон Макгвайр</t>
        </is>
      </c>
      <c r="E1261" s="1" t="inlineStr">
        <is>
          <t>Миттельшпиль. Макгвайр Ш.</t>
        </is>
      </c>
      <c r="F1261" s="13" t="inlineStr">
        <is>
          <t>См.обл.</t>
        </is>
      </c>
      <c r="G1261" s="1" t="inlineStr">
        <is>
          <t>Макгвайр Ш.</t>
        </is>
      </c>
      <c r="H1261" s="1" t="inlineStr">
        <is>
          <t>60х90/16</t>
        </is>
      </c>
      <c r="I1261" s="1" t="n">
        <v>512</v>
      </c>
      <c r="J1261" s="1" t="inlineStr">
        <is>
          <t>Дом историй</t>
        </is>
      </c>
      <c r="K1261" s="1" t="inlineStr">
        <is>
          <t>Эвербук</t>
        </is>
      </c>
      <c r="M1261" s="1" t="inlineStr">
        <is>
          <t>2025</t>
        </is>
      </c>
      <c r="N1261" s="1" t="inlineStr">
        <is>
          <t>П</t>
        </is>
      </c>
      <c r="O1261" s="9" t="n">
        <v>10</v>
      </c>
      <c r="P1261" s="1">
        <f>ROUNDUP(1160*(1-$F$3),2)</f>
        <v/>
      </c>
      <c r="Q1261" s="1" t="inlineStr">
        <is>
          <t> </t>
        </is>
      </c>
      <c r="R1261" s="1" t="inlineStr">
        <is>
          <t>978-5-0058-0777-9</t>
        </is>
      </c>
      <c r="S1261" s="1" t="inlineStr">
        <is>
          <t>9785005807779</t>
        </is>
      </c>
      <c r="T1261" s="9" t="n">
        <v>22</v>
      </c>
      <c r="U1261" s="1">
        <f>ROUNDUP(950.82*(1-$F$3),2)</f>
        <v/>
      </c>
      <c r="V1261" s="1" t="n">
        <v>561</v>
      </c>
      <c r="Y1261" s="1" t="inlineStr">
        <is>
          <t>Миттельшпиль</t>
        </is>
      </c>
      <c r="Z1261" s="1" t="inlineStr">
        <is>
          <t>18+</t>
        </is>
      </c>
      <c r="AA1261" s="12" t="n">
        <v>45742</v>
      </c>
      <c r="AB1261" s="1" t="inlineStr">
        <is>
          <t>Художественная литература</t>
        </is>
      </c>
      <c r="AC1261" s="1" t="inlineStr">
        <is>
          <t>Фантастика. Мистика. Ужасы</t>
        </is>
      </c>
      <c r="AD1261" s="1" t="inlineStr">
        <is>
          <t>Фэнтези</t>
        </is>
      </c>
      <c r="AE1261" s="1" t="inlineStr">
        <is>
          <t>офсетная</t>
        </is>
      </c>
      <c r="AG1261" s="1" t="n">
        <v>11688440</v>
      </c>
      <c r="AI1261" s="1" t="inlineStr">
        <is>
          <t>4901990000</t>
        </is>
      </c>
      <c r="AJ1261" s="1" t="inlineStr">
        <is>
          <t>Зпв</t>
        </is>
      </c>
    </row>
    <row r="1262" customFormat="1" s="1">
      <c r="C1262" s="1" t="inlineStr">
        <is>
          <t xml:space="preserve">11860020            </t>
        </is>
      </c>
      <c r="D1262" s="1" t="inlineStr">
        <is>
          <t>Особняк: современная классика</t>
        </is>
      </c>
      <c r="E1262" s="1" t="inlineStr">
        <is>
          <t>Белая линия ночи. ан-Насрулла Х.</t>
        </is>
      </c>
      <c r="F1262" s="13" t="inlineStr">
        <is>
          <t>См.обл.</t>
        </is>
      </c>
      <c r="G1262" s="1" t="inlineStr">
        <is>
          <t>ан-Насрулла Х.</t>
        </is>
      </c>
      <c r="H1262" s="1" t="inlineStr">
        <is>
          <t>84х108/32</t>
        </is>
      </c>
      <c r="I1262" s="1" t="n">
        <v>352</v>
      </c>
      <c r="J1262" s="1" t="inlineStr">
        <is>
          <t>Дом историй</t>
        </is>
      </c>
      <c r="K1262" s="1" t="inlineStr">
        <is>
          <t>Эвербук</t>
        </is>
      </c>
      <c r="M1262" s="1" t="inlineStr">
        <is>
          <t>2025</t>
        </is>
      </c>
      <c r="N1262" s="1" t="inlineStr">
        <is>
          <t>П</t>
        </is>
      </c>
      <c r="O1262" s="9" t="n">
        <v>5</v>
      </c>
      <c r="P1262" s="1">
        <f>ROUNDUP(1000*(1-$F$3),2)</f>
        <v/>
      </c>
      <c r="Q1262" s="1" t="inlineStr">
        <is>
          <t> </t>
        </is>
      </c>
      <c r="R1262" s="1" t="inlineStr">
        <is>
          <t>978-5-0058-0828-8</t>
        </is>
      </c>
      <c r="S1262" s="1" t="inlineStr">
        <is>
          <t>9785005808288</t>
        </is>
      </c>
      <c r="T1262" s="9" t="n">
        <v>10</v>
      </c>
      <c r="U1262" s="1">
        <f>ROUNDUP(909.09*(1-$F$3),2)</f>
        <v/>
      </c>
      <c r="V1262" s="1" t="n">
        <v>449</v>
      </c>
      <c r="Y1262" s="1" t="inlineStr">
        <is>
          <t>Белая линия ночи</t>
        </is>
      </c>
      <c r="Z1262" s="1" t="inlineStr">
        <is>
          <t>16+</t>
        </is>
      </c>
      <c r="AA1262" s="12" t="n">
        <v>45903</v>
      </c>
      <c r="AB1262" s="1" t="inlineStr">
        <is>
          <t>Художественная литература</t>
        </is>
      </c>
      <c r="AC1262" s="1" t="inlineStr">
        <is>
          <t>Зарубежная литература</t>
        </is>
      </c>
      <c r="AD1262" s="1" t="inlineStr">
        <is>
          <t>Литература стран Азии и Африки</t>
        </is>
      </c>
      <c r="AE1262" s="1" t="inlineStr">
        <is>
          <t>офсетная</t>
        </is>
      </c>
      <c r="AG1262" s="1" t="n">
        <v>11860020</v>
      </c>
      <c r="AI1262" s="1" t="inlineStr">
        <is>
          <t>4901990000</t>
        </is>
      </c>
    </row>
    <row r="1263" customFormat="1" s="1">
      <c r="C1263" s="1" t="inlineStr">
        <is>
          <t xml:space="preserve">11540870            </t>
        </is>
      </c>
      <c r="D1263" s="1" t="inlineStr">
        <is>
          <t>Особняк: современная классика</t>
        </is>
      </c>
      <c r="E1263" s="1" t="inlineStr">
        <is>
          <t>Бесчестье: роман. Кутзее Дж.М.</t>
        </is>
      </c>
      <c r="F1263" s="13" t="inlineStr">
        <is>
          <t>См.обл.</t>
        </is>
      </c>
      <c r="G1263" s="1" t="inlineStr">
        <is>
          <t>Кутзее Дж.М.</t>
        </is>
      </c>
      <c r="H1263" s="1" t="inlineStr">
        <is>
          <t>84х108/32</t>
        </is>
      </c>
      <c r="I1263" s="1" t="n">
        <v>336</v>
      </c>
      <c r="J1263" s="1" t="inlineStr">
        <is>
          <t>Дом историй</t>
        </is>
      </c>
      <c r="K1263" s="1" t="inlineStr">
        <is>
          <t>Эвербук</t>
        </is>
      </c>
      <c r="M1263" s="1" t="inlineStr">
        <is>
          <t>2026</t>
        </is>
      </c>
      <c r="N1263" s="1" t="inlineStr">
        <is>
          <t>О</t>
        </is>
      </c>
      <c r="O1263" s="9" t="n">
        <v>10</v>
      </c>
      <c r="P1263" s="1">
        <f>ROUNDUP(1110*(1-$F$3),2)</f>
        <v/>
      </c>
      <c r="Q1263" s="1" t="inlineStr">
        <is>
          <t> </t>
        </is>
      </c>
      <c r="R1263" s="1" t="inlineStr">
        <is>
          <t>978-5-0058-0141-8</t>
        </is>
      </c>
      <c r="S1263" s="1" t="inlineStr">
        <is>
          <t>9785005801418</t>
        </is>
      </c>
      <c r="T1263" s="9" t="n">
        <v>22</v>
      </c>
      <c r="U1263" s="1">
        <f>ROUNDUP(909.84*(1-$F$3),2)</f>
        <v/>
      </c>
      <c r="V1263" s="1" t="n">
        <v>277</v>
      </c>
      <c r="Y1263" s="1" t="inlineStr">
        <is>
          <t>Бесчестье: роман</t>
        </is>
      </c>
      <c r="Z1263" s="1" t="inlineStr">
        <is>
          <t>18+</t>
        </is>
      </c>
      <c r="AA1263" s="12" t="n">
        <v>45603</v>
      </c>
      <c r="AB1263" s="1" t="inlineStr">
        <is>
          <t>Художественная литература</t>
        </is>
      </c>
      <c r="AC1263" s="1" t="inlineStr">
        <is>
          <t>Зарубежная литература</t>
        </is>
      </c>
      <c r="AD1263" s="1" t="inlineStr">
        <is>
          <t>Литература стран Азии и Африки</t>
        </is>
      </c>
      <c r="AE1263" s="1" t="inlineStr">
        <is>
          <t>офсетная</t>
        </is>
      </c>
      <c r="AG1263" s="1" t="n">
        <v>11540870</v>
      </c>
      <c r="AI1263" s="1" t="inlineStr">
        <is>
          <t>4901990000</t>
        </is>
      </c>
      <c r="AJ1263" s="1" t="inlineStr">
        <is>
          <t>Зпв</t>
        </is>
      </c>
    </row>
    <row r="1264" customFormat="1" s="1">
      <c r="C1264" s="1" t="inlineStr">
        <is>
          <t xml:space="preserve">11540880            </t>
        </is>
      </c>
      <c r="D1264" s="1" t="inlineStr">
        <is>
          <t>Особняк: современная классика</t>
        </is>
      </c>
      <c r="E1264" s="1" t="inlineStr">
        <is>
          <t>В ожидании варваров: роман. Кутзее Дж.М.</t>
        </is>
      </c>
      <c r="F1264" s="13" t="inlineStr">
        <is>
          <t>См.обл.</t>
        </is>
      </c>
      <c r="G1264" s="1" t="inlineStr">
        <is>
          <t>Кутзее Дж.М.</t>
        </is>
      </c>
      <c r="H1264" s="1" t="inlineStr">
        <is>
          <t>84х108/32</t>
        </is>
      </c>
      <c r="I1264" s="1" t="n">
        <v>288</v>
      </c>
      <c r="J1264" s="1" t="inlineStr">
        <is>
          <t>Дом историй</t>
        </is>
      </c>
      <c r="K1264" s="1" t="inlineStr">
        <is>
          <t>Эвербук</t>
        </is>
      </c>
      <c r="M1264" s="1" t="inlineStr">
        <is>
          <t>2023</t>
        </is>
      </c>
      <c r="N1264" s="1" t="inlineStr">
        <is>
          <t>О</t>
        </is>
      </c>
      <c r="O1264" s="9" t="n">
        <v>12</v>
      </c>
      <c r="P1264" s="1">
        <f>ROUNDUP(1110*(1-$F$3),2)</f>
        <v/>
      </c>
      <c r="Q1264" s="1" t="inlineStr">
        <is>
          <t> </t>
        </is>
      </c>
      <c r="R1264" s="1" t="inlineStr">
        <is>
          <t>978-5-0058-0140-1</t>
        </is>
      </c>
      <c r="S1264" s="1" t="inlineStr">
        <is>
          <t>9785005801401</t>
        </is>
      </c>
      <c r="T1264" s="9" t="n">
        <v>10</v>
      </c>
      <c r="U1264" s="1">
        <f>ROUNDUP(1009.09*(1-$F$3),2)</f>
        <v/>
      </c>
      <c r="V1264" s="1" t="n">
        <v>241</v>
      </c>
      <c r="Y1264" s="1" t="inlineStr">
        <is>
          <t>В ожидании варваров: роман</t>
        </is>
      </c>
      <c r="Z1264" s="1" t="inlineStr">
        <is>
          <t>16+</t>
        </is>
      </c>
      <c r="AA1264" s="12" t="n">
        <v>45603</v>
      </c>
      <c r="AB1264" s="1" t="inlineStr">
        <is>
          <t>Художественная литература</t>
        </is>
      </c>
      <c r="AC1264" s="1" t="inlineStr">
        <is>
          <t>Зарубежная литература</t>
        </is>
      </c>
      <c r="AD1264" s="1" t="inlineStr">
        <is>
          <t>Литература стран Азии и Африки</t>
        </is>
      </c>
      <c r="AE1264" s="1" t="inlineStr">
        <is>
          <t>офсетная</t>
        </is>
      </c>
      <c r="AG1264" s="1" t="n">
        <v>11540880</v>
      </c>
      <c r="AI1264" s="1" t="inlineStr">
        <is>
          <t>4901990000</t>
        </is>
      </c>
    </row>
    <row r="1265" customFormat="1" s="1">
      <c r="C1265" s="1" t="inlineStr">
        <is>
          <t xml:space="preserve">11859790            </t>
        </is>
      </c>
      <c r="D1265" s="1" t="inlineStr">
        <is>
          <t>Особняк: современная классика</t>
        </is>
      </c>
      <c r="E1265" s="1" t="inlineStr">
        <is>
          <t>Вечер: роман. Харуф К.</t>
        </is>
      </c>
      <c r="F1265" s="13" t="inlineStr">
        <is>
          <t>См.обл.</t>
        </is>
      </c>
      <c r="G1265" s="1" t="inlineStr">
        <is>
          <t>Харуф К.</t>
        </is>
      </c>
      <c r="H1265" s="1" t="inlineStr">
        <is>
          <t>84х108/32</t>
        </is>
      </c>
      <c r="I1265" s="1" t="n">
        <v>416</v>
      </c>
      <c r="J1265" s="1" t="inlineStr">
        <is>
          <t>Дом историй</t>
        </is>
      </c>
      <c r="K1265" s="1" t="inlineStr">
        <is>
          <t>Эвербук</t>
        </is>
      </c>
      <c r="M1265" s="1" t="inlineStr">
        <is>
          <t>2025</t>
        </is>
      </c>
      <c r="N1265" s="1" t="inlineStr">
        <is>
          <t>П</t>
        </is>
      </c>
      <c r="O1265" s="9" t="n">
        <v>6</v>
      </c>
      <c r="P1265" s="1">
        <f>ROUNDUP(920*(1-$F$3),2)</f>
        <v/>
      </c>
      <c r="Q1265" s="1" t="inlineStr">
        <is>
          <t> </t>
        </is>
      </c>
      <c r="R1265" s="1" t="inlineStr">
        <is>
          <t>978-5-0058-0834-9</t>
        </is>
      </c>
      <c r="S1265" s="1" t="inlineStr">
        <is>
          <t>9785005808349</t>
        </is>
      </c>
      <c r="T1265" s="9" t="n">
        <v>22</v>
      </c>
      <c r="U1265" s="1">
        <f>ROUNDUP(754.1*(1-$F$3),2)</f>
        <v/>
      </c>
      <c r="V1265" s="1" t="n">
        <v>399</v>
      </c>
      <c r="Y1265" s="1" t="inlineStr">
        <is>
          <t>Вечер: роман</t>
        </is>
      </c>
      <c r="Z1265" s="1" t="inlineStr">
        <is>
          <t>18+</t>
        </is>
      </c>
      <c r="AA1265" s="12" t="n">
        <v>45914</v>
      </c>
      <c r="AB1265" s="1" t="inlineStr">
        <is>
          <t>Художественная литература</t>
        </is>
      </c>
      <c r="AC1265" s="1" t="inlineStr">
        <is>
          <t>Зарубежная литература</t>
        </is>
      </c>
      <c r="AD1265" s="1" t="inlineStr">
        <is>
          <t>Литература Америки и Австралии</t>
        </is>
      </c>
      <c r="AE1265" s="1" t="inlineStr">
        <is>
          <t>офсетная</t>
        </is>
      </c>
      <c r="AG1265" s="1" t="n">
        <v>11859790</v>
      </c>
      <c r="AI1265" s="1" t="inlineStr">
        <is>
          <t>4901990000</t>
        </is>
      </c>
    </row>
    <row r="1266" customFormat="1" s="1">
      <c r="C1266" s="1" t="inlineStr">
        <is>
          <t xml:space="preserve">11541040            </t>
        </is>
      </c>
      <c r="D1266" s="1" t="inlineStr">
        <is>
          <t>Особняк: современная классика</t>
        </is>
      </c>
      <c r="E1266" s="1" t="inlineStr">
        <is>
          <t>Вода в озере никогда не бывает сладкой. Каминито Д.</t>
        </is>
      </c>
      <c r="F1266" s="13" t="inlineStr">
        <is>
          <t>См.обл.</t>
        </is>
      </c>
      <c r="G1266" s="1" t="inlineStr">
        <is>
          <t>Каминито Д.</t>
        </is>
      </c>
      <c r="H1266" s="1" t="inlineStr">
        <is>
          <t>84х108/32</t>
        </is>
      </c>
      <c r="I1266" s="1" t="n">
        <v>416</v>
      </c>
      <c r="J1266" s="1" t="inlineStr">
        <is>
          <t>Дом историй</t>
        </is>
      </c>
      <c r="K1266" s="1" t="inlineStr">
        <is>
          <t>Эвербук</t>
        </is>
      </c>
      <c r="M1266" s="1" t="inlineStr">
        <is>
          <t>2023</t>
        </is>
      </c>
      <c r="N1266" s="1" t="inlineStr">
        <is>
          <t>П</t>
        </is>
      </c>
      <c r="O1266" s="9" t="n">
        <v>7</v>
      </c>
      <c r="P1266" s="1">
        <f>ROUNDUP(1420*(1-$F$3),2)</f>
        <v/>
      </c>
      <c r="Q1266" s="1" t="inlineStr">
        <is>
          <t> </t>
        </is>
      </c>
      <c r="R1266" s="1" t="inlineStr">
        <is>
          <t>978-5-0058-0043-5</t>
        </is>
      </c>
      <c r="S1266" s="1" t="inlineStr">
        <is>
          <t>9785005800435</t>
        </is>
      </c>
      <c r="T1266" s="9" t="n">
        <v>22</v>
      </c>
      <c r="U1266" s="1">
        <f>ROUNDUP(1163.93*(1-$F$3),2)</f>
        <v/>
      </c>
      <c r="V1266" s="1" t="n">
        <v>443</v>
      </c>
      <c r="Y1266" s="1" t="inlineStr">
        <is>
          <t>Вода в озере никогда не бывает сладкой</t>
        </is>
      </c>
      <c r="Z1266" s="1" t="inlineStr">
        <is>
          <t>18+</t>
        </is>
      </c>
      <c r="AA1266" s="12" t="n">
        <v>45603</v>
      </c>
      <c r="AB1266" s="1" t="inlineStr">
        <is>
          <t>Художественная литература</t>
        </is>
      </c>
      <c r="AC1266" s="1" t="inlineStr">
        <is>
          <t>Зарубежная литература</t>
        </is>
      </c>
      <c r="AD1266" s="1" t="inlineStr">
        <is>
          <t>Европейская литература</t>
        </is>
      </c>
      <c r="AE1266" s="1" t="inlineStr">
        <is>
          <t>офсетная</t>
        </is>
      </c>
      <c r="AG1266" s="1" t="n">
        <v>11541040</v>
      </c>
      <c r="AI1266" s="1" t="inlineStr">
        <is>
          <t>4901990000</t>
        </is>
      </c>
      <c r="AJ1266" s="1" t="inlineStr">
        <is>
          <t>Зпв</t>
        </is>
      </c>
    </row>
    <row r="1267" customFormat="1" s="1">
      <c r="C1267" s="1" t="inlineStr">
        <is>
          <t xml:space="preserve">11540910            </t>
        </is>
      </c>
      <c r="D1267" s="1" t="inlineStr">
        <is>
          <t>Особняк: современная классика</t>
        </is>
      </c>
      <c r="E1267" s="1" t="inlineStr">
        <is>
          <t>Жизнь и время Михаэла К.. Кутзее Дж.М.</t>
        </is>
      </c>
      <c r="F1267" s="13" t="inlineStr">
        <is>
          <t>См.обл.</t>
        </is>
      </c>
      <c r="G1267" s="1" t="inlineStr">
        <is>
          <t>Кутзее Дж.М.</t>
        </is>
      </c>
      <c r="H1267" s="1" t="inlineStr">
        <is>
          <t>84х108/32</t>
        </is>
      </c>
      <c r="I1267" s="1" t="n">
        <v>272</v>
      </c>
      <c r="J1267" s="1" t="inlineStr">
        <is>
          <t>Дом историй</t>
        </is>
      </c>
      <c r="K1267" s="1" t="inlineStr">
        <is>
          <t>Эвербук</t>
        </is>
      </c>
      <c r="M1267" s="1" t="inlineStr">
        <is>
          <t>2023</t>
        </is>
      </c>
      <c r="N1267" s="1" t="inlineStr">
        <is>
          <t>О</t>
        </is>
      </c>
      <c r="O1267" s="9" t="n">
        <v>12</v>
      </c>
      <c r="P1267" s="1">
        <f>ROUNDUP(1110*(1-$F$3),2)</f>
        <v/>
      </c>
      <c r="Q1267" s="1" t="inlineStr">
        <is>
          <t> </t>
        </is>
      </c>
      <c r="R1267" s="1" t="inlineStr">
        <is>
          <t>978-5-0058-0191-3</t>
        </is>
      </c>
      <c r="S1267" s="1" t="inlineStr">
        <is>
          <t>9785005801913</t>
        </is>
      </c>
      <c r="T1267" s="9" t="n">
        <v>10</v>
      </c>
      <c r="U1267" s="1">
        <f>ROUNDUP(1009.09*(1-$F$3),2)</f>
        <v/>
      </c>
      <c r="V1267" s="1" t="n">
        <v>228</v>
      </c>
      <c r="Y1267" s="1" t="inlineStr">
        <is>
          <t>Жизнь и время Михаэла К.</t>
        </is>
      </c>
      <c r="Z1267" s="1" t="inlineStr">
        <is>
          <t>16+</t>
        </is>
      </c>
      <c r="AA1267" s="12" t="n">
        <v>45603</v>
      </c>
      <c r="AB1267" s="1" t="inlineStr">
        <is>
          <t>Художественная литература</t>
        </is>
      </c>
      <c r="AC1267" s="1" t="inlineStr">
        <is>
          <t>Зарубежная литература</t>
        </is>
      </c>
      <c r="AD1267" s="1" t="inlineStr">
        <is>
          <t>Литература стран Азии и Африки</t>
        </is>
      </c>
      <c r="AE1267" s="1" t="inlineStr">
        <is>
          <t>офсетная</t>
        </is>
      </c>
      <c r="AG1267" s="1" t="n">
        <v>11540910</v>
      </c>
      <c r="AI1267" s="1" t="inlineStr">
        <is>
          <t>4901990000</t>
        </is>
      </c>
    </row>
    <row r="1268" customFormat="1" s="1">
      <c r="C1268" s="1" t="inlineStr">
        <is>
          <t xml:space="preserve">11541110            </t>
        </is>
      </c>
      <c r="D1268" s="1" t="inlineStr">
        <is>
          <t>Особняк: современная классика</t>
        </is>
      </c>
      <c r="E1268" s="1" t="inlineStr">
        <is>
          <t>Кариатиды. Ханцис А.М.</t>
        </is>
      </c>
      <c r="F1268" s="13" t="inlineStr">
        <is>
          <t>См.обл.</t>
        </is>
      </c>
      <c r="G1268" s="1" t="inlineStr">
        <is>
          <t>Ханцис А.М.</t>
        </is>
      </c>
      <c r="H1268" s="1" t="inlineStr">
        <is>
          <t>84х108/32</t>
        </is>
      </c>
      <c r="I1268" s="1" t="n">
        <v>384</v>
      </c>
      <c r="J1268" s="1" t="inlineStr">
        <is>
          <t>Дом историй</t>
        </is>
      </c>
      <c r="K1268" s="1" t="inlineStr">
        <is>
          <t>Эвербук</t>
        </is>
      </c>
      <c r="M1268" s="1" t="inlineStr">
        <is>
          <t>2024</t>
        </is>
      </c>
      <c r="N1268" s="1" t="inlineStr">
        <is>
          <t>П</t>
        </is>
      </c>
      <c r="O1268" s="9" t="n">
        <v>8</v>
      </c>
      <c r="P1268" s="1">
        <f>ROUNDUP(1280*(1-$F$3),2)</f>
        <v/>
      </c>
      <c r="Q1268" s="1" t="inlineStr">
        <is>
          <t> </t>
        </is>
      </c>
      <c r="R1268" s="1" t="inlineStr">
        <is>
          <t>978-5-0058-0274-3</t>
        </is>
      </c>
      <c r="S1268" s="1" t="inlineStr">
        <is>
          <t>9785005802743</t>
        </is>
      </c>
      <c r="T1268" s="9" t="n">
        <v>10</v>
      </c>
      <c r="U1268" s="1">
        <f>ROUNDUP(1163.64*(1-$F$3),2)</f>
        <v/>
      </c>
      <c r="V1268" s="1" t="n">
        <v>404</v>
      </c>
      <c r="Y1268" s="1" t="inlineStr">
        <is>
          <t>Кариатиды</t>
        </is>
      </c>
      <c r="Z1268" s="1" t="inlineStr">
        <is>
          <t>16+</t>
        </is>
      </c>
      <c r="AA1268" s="12" t="n">
        <v>45603</v>
      </c>
      <c r="AB1268" s="1" t="inlineStr">
        <is>
          <t>Художественная литература</t>
        </is>
      </c>
      <c r="AC1268" s="1" t="inlineStr">
        <is>
          <t>Русская литература</t>
        </is>
      </c>
      <c r="AD1268" s="1" t="inlineStr">
        <is>
          <t>Современная литература</t>
        </is>
      </c>
      <c r="AE1268" s="1" t="inlineStr">
        <is>
          <t>офсетная</t>
        </is>
      </c>
      <c r="AG1268" s="1" t="n">
        <v>11541110</v>
      </c>
      <c r="AI1268" s="1" t="inlineStr">
        <is>
          <t>4901990000</t>
        </is>
      </c>
    </row>
    <row r="1269" customFormat="1" s="1">
      <c r="C1269" s="1" t="inlineStr">
        <is>
          <t xml:space="preserve">11694020            </t>
        </is>
      </c>
      <c r="D1269" s="1" t="inlineStr">
        <is>
          <t>Особняк: современная классика</t>
        </is>
      </c>
      <c r="E1269" s="1" t="inlineStr">
        <is>
          <t>Месяц светит по просьбе сердца моего. Вантэчават П</t>
        </is>
      </c>
      <c r="F1269" s="13" t="inlineStr">
        <is>
          <t>См.обл.</t>
        </is>
      </c>
      <c r="G1269" s="1" t="inlineStr">
        <is>
          <t>Вантэчават П</t>
        </is>
      </c>
      <c r="H1269" s="1" t="inlineStr">
        <is>
          <t>84х108/32</t>
        </is>
      </c>
      <c r="I1269" s="1" t="n">
        <v>416</v>
      </c>
      <c r="J1269" s="1" t="inlineStr">
        <is>
          <t>Дом историй</t>
        </is>
      </c>
      <c r="K1269" s="1" t="inlineStr">
        <is>
          <t>Эвербук</t>
        </is>
      </c>
      <c r="M1269" s="1" t="inlineStr">
        <is>
          <t>2025</t>
        </is>
      </c>
      <c r="N1269" s="1" t="inlineStr">
        <is>
          <t>П</t>
        </is>
      </c>
      <c r="O1269" s="9" t="n">
        <v>14</v>
      </c>
      <c r="P1269" s="1">
        <f>ROUNDUP(1040*(1-$F$3),2)</f>
        <v/>
      </c>
      <c r="Q1269" s="1" t="inlineStr">
        <is>
          <t> </t>
        </is>
      </c>
      <c r="R1269" s="1" t="inlineStr">
        <is>
          <t>978-5-0058-0651-2</t>
        </is>
      </c>
      <c r="S1269" s="1" t="inlineStr">
        <is>
          <t>9785005806512</t>
        </is>
      </c>
      <c r="T1269" s="9" t="n">
        <v>10</v>
      </c>
      <c r="U1269" s="1">
        <f>ROUNDUP(945.45*(1-$F$3),2)</f>
        <v/>
      </c>
      <c r="V1269" s="1" t="n">
        <v>439</v>
      </c>
      <c r="Y1269" s="1" t="inlineStr">
        <is>
          <t>Месяц светит по просьбе сердца моего</t>
        </is>
      </c>
      <c r="Z1269" s="1" t="inlineStr">
        <is>
          <t>16+</t>
        </is>
      </c>
      <c r="AA1269" s="12" t="n">
        <v>45764</v>
      </c>
      <c r="AB1269" s="1" t="inlineStr">
        <is>
          <t>Художественная литература</t>
        </is>
      </c>
      <c r="AC1269" s="1" t="inlineStr">
        <is>
          <t>Зарубежная литература</t>
        </is>
      </c>
      <c r="AD1269" s="1" t="inlineStr">
        <is>
          <t>Литература стран Азии и Африки</t>
        </is>
      </c>
      <c r="AE1269" s="1" t="inlineStr">
        <is>
          <t>офсетная</t>
        </is>
      </c>
      <c r="AG1269" s="1" t="n">
        <v>11694020</v>
      </c>
      <c r="AI1269" s="1" t="inlineStr">
        <is>
          <t>4901990000</t>
        </is>
      </c>
      <c r="AJ1269" s="1" t="inlineStr">
        <is>
          <t>Зпв</t>
        </is>
      </c>
    </row>
    <row r="1270" customFormat="1" s="1">
      <c r="C1270" s="1" t="inlineStr">
        <is>
          <t xml:space="preserve">11540890            </t>
        </is>
      </c>
      <c r="D1270" s="1" t="inlineStr">
        <is>
          <t>Особняк: современная классика</t>
        </is>
      </c>
      <c r="E1270" s="1" t="inlineStr">
        <is>
          <t>Осень в Петербурге. Кутзее Дж.М.</t>
        </is>
      </c>
      <c r="F1270" s="13" t="inlineStr">
        <is>
          <t>См.обл.</t>
        </is>
      </c>
      <c r="G1270" s="1" t="inlineStr">
        <is>
          <t>Кутзее Дж.М.</t>
        </is>
      </c>
      <c r="H1270" s="1" t="inlineStr">
        <is>
          <t>84х108/32</t>
        </is>
      </c>
      <c r="I1270" s="1" t="n">
        <v>336</v>
      </c>
      <c r="J1270" s="1" t="inlineStr">
        <is>
          <t>Дом историй</t>
        </is>
      </c>
      <c r="K1270" s="1" t="inlineStr">
        <is>
          <t>Эвербук</t>
        </is>
      </c>
      <c r="M1270" s="1" t="inlineStr">
        <is>
          <t>2023</t>
        </is>
      </c>
      <c r="N1270" s="1" t="inlineStr">
        <is>
          <t>О</t>
        </is>
      </c>
      <c r="O1270" s="9" t="n">
        <v>10</v>
      </c>
      <c r="P1270" s="1">
        <f>ROUNDUP(1110*(1-$F$3),2)</f>
        <v/>
      </c>
      <c r="Q1270" s="1" t="inlineStr">
        <is>
          <t> </t>
        </is>
      </c>
      <c r="R1270" s="1" t="inlineStr">
        <is>
          <t>978-5-0058-0142-5</t>
        </is>
      </c>
      <c r="S1270" s="1" t="inlineStr">
        <is>
          <t>9785005801425</t>
        </is>
      </c>
      <c r="T1270" s="9" t="n">
        <v>22</v>
      </c>
      <c r="U1270" s="1">
        <f>ROUNDUP(909.84*(1-$F$3),2)</f>
        <v/>
      </c>
      <c r="V1270" s="1" t="n">
        <v>281</v>
      </c>
      <c r="Y1270" s="1" t="inlineStr">
        <is>
          <t>Осень в Петербурге</t>
        </is>
      </c>
      <c r="Z1270" s="1" t="inlineStr">
        <is>
          <t>18+</t>
        </is>
      </c>
      <c r="AA1270" s="12" t="n">
        <v>45603</v>
      </c>
      <c r="AB1270" s="1" t="inlineStr">
        <is>
          <t>Художественная литература</t>
        </is>
      </c>
      <c r="AC1270" s="1" t="inlineStr">
        <is>
          <t>Зарубежная литература</t>
        </is>
      </c>
      <c r="AD1270" s="1" t="inlineStr">
        <is>
          <t>Литература стран Азии и Африки</t>
        </is>
      </c>
      <c r="AE1270" s="1" t="inlineStr">
        <is>
          <t>офсетная</t>
        </is>
      </c>
      <c r="AG1270" s="1" t="n">
        <v>11540890</v>
      </c>
      <c r="AI1270" s="1" t="inlineStr">
        <is>
          <t>4901990000</t>
        </is>
      </c>
      <c r="AJ1270" s="1" t="inlineStr">
        <is>
          <t>Зпв</t>
        </is>
      </c>
    </row>
    <row r="1271" customFormat="1" s="1">
      <c r="C1271" s="1" t="inlineStr">
        <is>
          <t xml:space="preserve">11541020            </t>
        </is>
      </c>
      <c r="D1271" s="1" t="inlineStr">
        <is>
          <t>Особняк: современная классика</t>
        </is>
      </c>
      <c r="E1271" s="1" t="inlineStr">
        <is>
          <t>Снег на кедрах. Гатерсон Д.</t>
        </is>
      </c>
      <c r="F1271" s="13" t="inlineStr">
        <is>
          <t>См.обл.</t>
        </is>
      </c>
      <c r="G1271" s="1" t="inlineStr">
        <is>
          <t>Гатерсон Д.</t>
        </is>
      </c>
      <c r="H1271" s="1" t="inlineStr">
        <is>
          <t>84х108/32</t>
        </is>
      </c>
      <c r="I1271" s="1" t="n">
        <v>576</v>
      </c>
      <c r="J1271" s="1" t="inlineStr">
        <is>
          <t>Дом историй</t>
        </is>
      </c>
      <c r="K1271" s="1" t="inlineStr">
        <is>
          <t>Эвербук</t>
        </is>
      </c>
      <c r="M1271" s="1" t="inlineStr">
        <is>
          <t>2023</t>
        </is>
      </c>
      <c r="N1271" s="1" t="inlineStr">
        <is>
          <t>П</t>
        </is>
      </c>
      <c r="O1271" s="9" t="n">
        <v>5</v>
      </c>
      <c r="P1271" s="1">
        <f>ROUNDUP(1420*(1-$F$3),2)</f>
        <v/>
      </c>
      <c r="Q1271" s="1" t="inlineStr">
        <is>
          <t> </t>
        </is>
      </c>
      <c r="R1271" s="1" t="inlineStr">
        <is>
          <t>978-5-0058-0067-1</t>
        </is>
      </c>
      <c r="S1271" s="1" t="inlineStr">
        <is>
          <t>9785005800671</t>
        </is>
      </c>
      <c r="T1271" s="9" t="n">
        <v>10</v>
      </c>
      <c r="U1271" s="1">
        <f>ROUNDUP(1290.91*(1-$F$3),2)</f>
        <v/>
      </c>
      <c r="V1271" s="1" t="n">
        <v>578</v>
      </c>
      <c r="Y1271" s="1" t="inlineStr">
        <is>
          <t>Снег на кедрах</t>
        </is>
      </c>
      <c r="Z1271" s="1" t="inlineStr">
        <is>
          <t>16+</t>
        </is>
      </c>
      <c r="AA1271" s="12" t="n">
        <v>45603</v>
      </c>
      <c r="AB1271" s="1" t="inlineStr">
        <is>
          <t>Художественная литература</t>
        </is>
      </c>
      <c r="AC1271" s="1" t="inlineStr">
        <is>
          <t>Детективы. Боевики. Триллеры</t>
        </is>
      </c>
      <c r="AD1271" s="1" t="inlineStr">
        <is>
          <t>Зарубежный детектив</t>
        </is>
      </c>
      <c r="AE1271" s="1" t="inlineStr">
        <is>
          <t>офсетная</t>
        </is>
      </c>
      <c r="AG1271" s="1" t="n">
        <v>11541020</v>
      </c>
      <c r="AI1271" s="1" t="inlineStr">
        <is>
          <t>4901990000</t>
        </is>
      </c>
    </row>
    <row r="1272" customFormat="1" s="1">
      <c r="C1272" s="1" t="inlineStr">
        <is>
          <t xml:space="preserve">11645090            </t>
        </is>
      </c>
      <c r="D1272" s="1" t="inlineStr">
        <is>
          <t>Особняк: современная классика</t>
        </is>
      </c>
      <c r="E1272" s="1" t="inlineStr">
        <is>
          <t>Хорал: роман. Харуф К.</t>
        </is>
      </c>
      <c r="F1272" s="13" t="inlineStr">
        <is>
          <t>См.обл.</t>
        </is>
      </c>
      <c r="G1272" s="1" t="inlineStr">
        <is>
          <t>Харуф К.</t>
        </is>
      </c>
      <c r="H1272" s="1" t="inlineStr">
        <is>
          <t>84х108/32</t>
        </is>
      </c>
      <c r="I1272" s="1" t="n">
        <v>384</v>
      </c>
      <c r="J1272" s="1" t="inlineStr">
        <is>
          <t>Дом историй</t>
        </is>
      </c>
      <c r="K1272" s="1" t="inlineStr">
        <is>
          <t>Эвербук</t>
        </is>
      </c>
      <c r="M1272" s="1" t="inlineStr">
        <is>
          <t>2026</t>
        </is>
      </c>
      <c r="N1272" s="1" t="inlineStr">
        <is>
          <t>П</t>
        </is>
      </c>
      <c r="O1272" s="9" t="n">
        <v>6</v>
      </c>
      <c r="P1272" s="1">
        <f>ROUNDUP(960*(1-$F$3),2)</f>
        <v/>
      </c>
      <c r="Q1272" s="1" t="inlineStr">
        <is>
          <t> </t>
        </is>
      </c>
      <c r="R1272" s="1" t="inlineStr">
        <is>
          <t>978-5-0058-0495-2</t>
        </is>
      </c>
      <c r="S1272" s="1" t="inlineStr">
        <is>
          <t>9785005804952</t>
        </is>
      </c>
      <c r="T1272" s="9" t="n">
        <v>22</v>
      </c>
      <c r="U1272" s="1">
        <f>ROUNDUP(786.89*(1-$F$3),2)</f>
        <v/>
      </c>
      <c r="V1272" s="1" t="n">
        <v>378</v>
      </c>
      <c r="Y1272" s="1" t="inlineStr">
        <is>
          <t>Хорал: роман</t>
        </is>
      </c>
      <c r="Z1272" s="1" t="inlineStr">
        <is>
          <t>18+</t>
        </is>
      </c>
      <c r="AA1272" s="12" t="n">
        <v>45751</v>
      </c>
      <c r="AB1272" s="1" t="inlineStr">
        <is>
          <t>Художественная литература</t>
        </is>
      </c>
      <c r="AC1272" s="1" t="inlineStr">
        <is>
          <t>Зарубежная литература</t>
        </is>
      </c>
      <c r="AD1272" s="1" t="inlineStr">
        <is>
          <t>Литература Америки и Австралии</t>
        </is>
      </c>
      <c r="AE1272" s="1" t="inlineStr">
        <is>
          <t>офсетная</t>
        </is>
      </c>
      <c r="AG1272" s="1" t="n">
        <v>11645090</v>
      </c>
      <c r="AI1272" s="1" t="inlineStr">
        <is>
          <t>4901990000</t>
        </is>
      </c>
      <c r="AJ1272" s="1" t="inlineStr">
        <is>
          <t>Зпв</t>
        </is>
      </c>
    </row>
    <row r="1273" customFormat="1" s="1">
      <c r="C1273" s="1" t="inlineStr">
        <is>
          <t xml:space="preserve">12027230            </t>
        </is>
      </c>
      <c r="D1273" s="1" t="inlineStr">
        <is>
          <t>Подвал: интригующие триллеры</t>
        </is>
      </c>
      <c r="E1273" s="1" t="inlineStr">
        <is>
          <t>Собеседование. Крис Юэ</t>
        </is>
      </c>
      <c r="F1273" s="13" t="inlineStr">
        <is>
          <t>См.обл.</t>
        </is>
      </c>
      <c r="G1273" s="1" t="inlineStr">
        <is>
          <t>Крис Юэ</t>
        </is>
      </c>
      <c r="H1273" s="1" t="inlineStr">
        <is>
          <t>84х108/32</t>
        </is>
      </c>
      <c r="I1273" s="1" t="n">
        <v>432</v>
      </c>
      <c r="J1273" s="1" t="inlineStr">
        <is>
          <t>Дом историй</t>
        </is>
      </c>
      <c r="K1273" s="1" t="inlineStr">
        <is>
          <t>Эвербук</t>
        </is>
      </c>
      <c r="M1273" s="1" t="inlineStr">
        <is>
          <t>2026</t>
        </is>
      </c>
      <c r="N1273" s="1" t="inlineStr">
        <is>
          <t>О</t>
        </is>
      </c>
      <c r="O1273" s="9" t="n">
        <v>10</v>
      </c>
      <c r="P1273" s="1">
        <f>ROUNDUP(890*(1-$F$3),2)</f>
        <v/>
      </c>
      <c r="Q1273" s="1" t="inlineStr">
        <is>
          <t> </t>
        </is>
      </c>
      <c r="R1273" s="1" t="inlineStr">
        <is>
          <t>978-5-0058-0977-3</t>
        </is>
      </c>
      <c r="S1273" s="1" t="inlineStr">
        <is>
          <t>9785005809773</t>
        </is>
      </c>
      <c r="T1273" s="9" t="n">
        <v>10</v>
      </c>
      <c r="U1273" s="1">
        <f>ROUNDUP(809.09*(1-$F$3),2)</f>
        <v/>
      </c>
      <c r="V1273" s="1" t="n">
        <v>345</v>
      </c>
      <c r="Y1273" s="1" t="inlineStr">
        <is>
          <t>Собеседование</t>
        </is>
      </c>
      <c r="Z1273" s="1" t="inlineStr">
        <is>
          <t>16+</t>
        </is>
      </c>
      <c r="AA1273" s="12" t="n">
        <v>46078</v>
      </c>
      <c r="AB1273" s="1" t="inlineStr">
        <is>
          <t>Художественная литература</t>
        </is>
      </c>
      <c r="AC1273" s="1" t="inlineStr">
        <is>
          <t>Детективы. Боевики. Триллеры</t>
        </is>
      </c>
      <c r="AD1273" s="1" t="inlineStr">
        <is>
          <t>Триллеры</t>
        </is>
      </c>
      <c r="AE1273" s="1" t="inlineStr">
        <is>
          <t>офсетная</t>
        </is>
      </c>
      <c r="AG1273" s="1" t="n">
        <v>12027230</v>
      </c>
      <c r="AI1273" s="1" t="inlineStr">
        <is>
          <t>4901990000</t>
        </is>
      </c>
    </row>
    <row r="1274" customFormat="1" s="1">
      <c r="C1274" s="1" t="inlineStr">
        <is>
          <t xml:space="preserve">12065040            </t>
        </is>
      </c>
      <c r="D1274" s="1" t="inlineStr">
        <is>
          <t>Подвал: интригующие триллеры</t>
        </is>
      </c>
      <c r="E1274" s="1" t="inlineStr">
        <is>
          <t>Уснуть. Тейлор К.Л.</t>
        </is>
      </c>
      <c r="F1274" s="13" t="inlineStr">
        <is>
          <t>См.обл.</t>
        </is>
      </c>
      <c r="G1274" s="1" t="inlineStr">
        <is>
          <t>Тейлор К.Л.</t>
        </is>
      </c>
      <c r="H1274" s="1" t="inlineStr">
        <is>
          <t>84х108/32</t>
        </is>
      </c>
      <c r="I1274" s="1" t="n">
        <v>416</v>
      </c>
      <c r="J1274" s="1" t="inlineStr">
        <is>
          <t>Дом историй</t>
        </is>
      </c>
      <c r="K1274" s="1" t="inlineStr">
        <is>
          <t>Эвербук</t>
        </is>
      </c>
      <c r="M1274" s="1" t="inlineStr">
        <is>
          <t>2026</t>
        </is>
      </c>
      <c r="N1274" s="1" t="inlineStr">
        <is>
          <t>О</t>
        </is>
      </c>
      <c r="O1274" s="9" t="n">
        <v>10</v>
      </c>
      <c r="P1274" s="1">
        <f>ROUNDUP(750*(1-$F$3),2)</f>
        <v/>
      </c>
      <c r="Q1274" s="1" t="inlineStr">
        <is>
          <t> </t>
        </is>
      </c>
      <c r="R1274" s="1" t="inlineStr">
        <is>
          <t>978-5-0058-0995-7</t>
        </is>
      </c>
      <c r="S1274" s="1" t="inlineStr">
        <is>
          <t>9785005809957</t>
        </is>
      </c>
      <c r="T1274" s="9" t="n">
        <v>22</v>
      </c>
      <c r="U1274" s="1">
        <f>ROUNDUP(614.75*(1-$F$3),2)</f>
        <v/>
      </c>
      <c r="V1274" s="1" t="n">
        <v>337</v>
      </c>
      <c r="Y1274" s="1" t="inlineStr">
        <is>
          <t>Уснуть</t>
        </is>
      </c>
      <c r="Z1274" s="1" t="inlineStr">
        <is>
          <t>18+</t>
        </is>
      </c>
      <c r="AA1274" s="12" t="n">
        <v>46118</v>
      </c>
      <c r="AB1274" s="1" t="inlineStr">
        <is>
          <t>Художественная литература</t>
        </is>
      </c>
      <c r="AC1274" s="1" t="inlineStr">
        <is>
          <t>Детективы. Боевики. Триллеры</t>
        </is>
      </c>
      <c r="AD1274" s="1" t="inlineStr">
        <is>
          <t>Триллеры</t>
        </is>
      </c>
      <c r="AE1274" s="1" t="inlineStr">
        <is>
          <t>офсетная</t>
        </is>
      </c>
      <c r="AG1274" s="1" t="n">
        <v>12065040</v>
      </c>
      <c r="AI1274" s="1" t="inlineStr">
        <is>
          <t>4901990000</t>
        </is>
      </c>
      <c r="AJ1274" s="1" t="inlineStr">
        <is>
          <t>Зпв</t>
        </is>
      </c>
    </row>
    <row r="1275" customFormat="1" s="1">
      <c r="C1275" s="1" t="inlineStr">
        <is>
          <t xml:space="preserve">11541030            </t>
        </is>
      </c>
      <c r="D1275" s="1" t="inlineStr">
        <is>
          <t>Проект "Джейн Остен"</t>
        </is>
      </c>
      <c r="E1275" s="1" t="inlineStr">
        <is>
          <t>Проект "Джейн Остен". Флинн К.Э.</t>
        </is>
      </c>
      <c r="F1275" s="13" t="inlineStr">
        <is>
          <t>См.обл.</t>
        </is>
      </c>
      <c r="G1275" s="1" t="inlineStr">
        <is>
          <t>Флинн К.Э.</t>
        </is>
      </c>
      <c r="H1275" s="1" t="inlineStr">
        <is>
          <t>84х108/32</t>
        </is>
      </c>
      <c r="I1275" s="1" t="n">
        <v>496</v>
      </c>
      <c r="J1275" s="1" t="inlineStr">
        <is>
          <t>Дом историй</t>
        </is>
      </c>
      <c r="K1275" s="1" t="inlineStr">
        <is>
          <t>Эвербук</t>
        </is>
      </c>
      <c r="M1275" s="1" t="inlineStr">
        <is>
          <t>2023</t>
        </is>
      </c>
      <c r="N1275" s="1" t="inlineStr">
        <is>
          <t>П</t>
        </is>
      </c>
      <c r="O1275" s="9" t="n">
        <v>6</v>
      </c>
      <c r="P1275" s="1">
        <f>ROUNDUP(1150*(1-$F$3),2)</f>
        <v/>
      </c>
      <c r="Q1275" s="1" t="inlineStr">
        <is>
          <t> </t>
        </is>
      </c>
      <c r="R1275" s="1" t="inlineStr">
        <is>
          <t>978-5-0058-0221-7</t>
        </is>
      </c>
      <c r="S1275" s="1" t="inlineStr">
        <is>
          <t>9785005802217</t>
        </is>
      </c>
      <c r="T1275" s="9" t="n">
        <v>10</v>
      </c>
      <c r="U1275" s="1">
        <f>ROUNDUP(1045.45*(1-$F$3),2)</f>
        <v/>
      </c>
      <c r="V1275" s="1" t="n">
        <v>506</v>
      </c>
      <c r="Y1275" s="1" t="inlineStr">
        <is>
          <t>Проект "Джейн Остен"</t>
        </is>
      </c>
      <c r="Z1275" s="1" t="inlineStr">
        <is>
          <t>16+</t>
        </is>
      </c>
      <c r="AA1275" s="12" t="n">
        <v>45603</v>
      </c>
      <c r="AB1275" s="1" t="inlineStr">
        <is>
          <t>Художественная литература</t>
        </is>
      </c>
      <c r="AC1275" s="1" t="inlineStr">
        <is>
          <t>Фантастика. Мистика. Ужасы</t>
        </is>
      </c>
      <c r="AD1275" s="1" t="inlineStr">
        <is>
          <t>Фэнтези</t>
        </is>
      </c>
      <c r="AE1275" s="1" t="inlineStr">
        <is>
          <t>офсетная</t>
        </is>
      </c>
      <c r="AG1275" s="1" t="n">
        <v>11541030</v>
      </c>
      <c r="AI1275" s="1" t="inlineStr">
        <is>
          <t>4901990000</t>
        </is>
      </c>
      <c r="AJ1275" s="1" t="inlineStr">
        <is>
          <t>Зпв</t>
        </is>
      </c>
    </row>
    <row r="1276" customFormat="1" s="1">
      <c r="C1276" s="1" t="inlineStr">
        <is>
          <t xml:space="preserve">11583120            </t>
        </is>
      </c>
      <c r="D1276" s="1" t="inlineStr">
        <is>
          <t>Ромкомната: любовные романы</t>
        </is>
      </c>
      <c r="E1276" s="1" t="inlineStr">
        <is>
          <t>Охота за звездами. Михалик Дж.</t>
        </is>
      </c>
      <c r="F1276" s="13" t="inlineStr">
        <is>
          <t>См.обл.</t>
        </is>
      </c>
      <c r="G1276" s="1" t="inlineStr">
        <is>
          <t>Михалик Дж.</t>
        </is>
      </c>
      <c r="H1276" s="1" t="inlineStr">
        <is>
          <t>60х90/16</t>
        </is>
      </c>
      <c r="I1276" s="1" t="n">
        <v>448</v>
      </c>
      <c r="J1276" s="1" t="inlineStr">
        <is>
          <t>Дом историй</t>
        </is>
      </c>
      <c r="K1276" s="1" t="inlineStr">
        <is>
          <t>Эвербук</t>
        </is>
      </c>
      <c r="M1276" s="1" t="inlineStr">
        <is>
          <t>2025</t>
        </is>
      </c>
      <c r="N1276" s="1" t="inlineStr">
        <is>
          <t>О</t>
        </is>
      </c>
      <c r="O1276" s="9" t="n">
        <v>12</v>
      </c>
      <c r="P1276" s="1">
        <f>ROUNDUP(1100*(1-$F$3),2)</f>
        <v/>
      </c>
      <c r="Q1276" s="1" t="inlineStr">
        <is>
          <t> </t>
        </is>
      </c>
      <c r="R1276" s="1" t="inlineStr">
        <is>
          <t>978-5-0058-0503-4</t>
        </is>
      </c>
      <c r="S1276" s="1" t="inlineStr">
        <is>
          <t>9785005805034</t>
        </is>
      </c>
      <c r="T1276" s="9" t="n">
        <v>22</v>
      </c>
      <c r="U1276" s="1">
        <f>ROUNDUP(901.64*(1-$F$3),2)</f>
        <v/>
      </c>
      <c r="V1276" s="1" t="n">
        <v>392</v>
      </c>
      <c r="Y1276" s="1" t="inlineStr">
        <is>
          <t>Охота за звездами</t>
        </is>
      </c>
      <c r="Z1276" s="1" t="inlineStr">
        <is>
          <t>18+</t>
        </is>
      </c>
      <c r="AA1276" s="12" t="n">
        <v>45649</v>
      </c>
      <c r="AB1276" s="1" t="inlineStr">
        <is>
          <t>Художественная литература</t>
        </is>
      </c>
      <c r="AC1276" s="1" t="inlineStr">
        <is>
          <t>Фантастика. Мистика. Ужасы</t>
        </is>
      </c>
      <c r="AD1276" s="1" t="inlineStr">
        <is>
          <t>Фэнтези</t>
        </is>
      </c>
      <c r="AE1276" s="1" t="inlineStr">
        <is>
          <t>офсетная</t>
        </is>
      </c>
      <c r="AG1276" s="1" t="n">
        <v>11583120</v>
      </c>
      <c r="AI1276" s="1" t="inlineStr">
        <is>
          <t>4901990000</t>
        </is>
      </c>
    </row>
    <row r="1277" customFormat="1" s="1">
      <c r="C1277" s="1" t="inlineStr">
        <is>
          <t xml:space="preserve">12107330            </t>
        </is>
      </c>
      <c r="D1277" s="1" t="inlineStr">
        <is>
          <t>Ромкомната: любовные романы</t>
        </is>
      </c>
      <c r="E1277" s="1" t="inlineStr">
        <is>
          <t>Список Лили Беннет. Дайсон К</t>
        </is>
      </c>
      <c r="F1277" s="13" t="inlineStr">
        <is>
          <t>См.обл.</t>
        </is>
      </c>
      <c r="G1277" s="1" t="inlineStr">
        <is>
          <t>Дайсон К</t>
        </is>
      </c>
      <c r="H1277" s="1" t="inlineStr">
        <is>
          <t>60х90/16</t>
        </is>
      </c>
      <c r="I1277" s="1" t="n">
        <v>432</v>
      </c>
      <c r="J1277" s="1" t="inlineStr">
        <is>
          <t>Дом историй</t>
        </is>
      </c>
      <c r="K1277" s="1" t="inlineStr">
        <is>
          <t>Эвербук</t>
        </is>
      </c>
      <c r="M1277" s="1" t="inlineStr">
        <is>
          <t>2026</t>
        </is>
      </c>
      <c r="N1277" s="1" t="inlineStr">
        <is>
          <t>О</t>
        </is>
      </c>
      <c r="O1277" s="9" t="n">
        <v>6</v>
      </c>
      <c r="P1277" s="1">
        <f>ROUNDUP(890*(1-$F$3),2)</f>
        <v/>
      </c>
      <c r="Q1277" s="1" t="inlineStr">
        <is>
          <t> </t>
        </is>
      </c>
      <c r="R1277" s="1" t="inlineStr">
        <is>
          <t>978-5-0058-0915-5</t>
        </is>
      </c>
      <c r="S1277" s="1" t="inlineStr">
        <is>
          <t>9785005809155</t>
        </is>
      </c>
      <c r="T1277" s="9" t="n">
        <v>10</v>
      </c>
      <c r="U1277" s="1">
        <f>ROUNDUP(809.09*(1-$F$3),2)</f>
        <v/>
      </c>
      <c r="V1277" s="1" t="n">
        <v>379</v>
      </c>
      <c r="Y1277" s="1" t="inlineStr">
        <is>
          <t>Список Лили Беннет</t>
        </is>
      </c>
      <c r="Z1277" s="1" t="inlineStr">
        <is>
          <t>16+</t>
        </is>
      </c>
      <c r="AA1277" s="12" t="n">
        <v>46167</v>
      </c>
      <c r="AB1277" s="1" t="inlineStr">
        <is>
          <t>Художественная литература</t>
        </is>
      </c>
      <c r="AC1277" s="1" t="inlineStr">
        <is>
          <t>Сентиментальная проза</t>
        </is>
      </c>
      <c r="AD1277" s="1" t="inlineStr">
        <is>
          <t>Зарубежный сентиментальный роман</t>
        </is>
      </c>
      <c r="AE1277" s="1" t="inlineStr">
        <is>
          <t>офсетная</t>
        </is>
      </c>
      <c r="AG1277" s="1" t="n">
        <v>12107330</v>
      </c>
      <c r="AI1277" s="1" t="inlineStr">
        <is>
          <t>4901990000</t>
        </is>
      </c>
    </row>
    <row r="1278" customFormat="1" s="1">
      <c r="C1278" s="1" t="inlineStr">
        <is>
          <t xml:space="preserve">12007180            </t>
        </is>
      </c>
      <c r="D1278" s="1" t="inlineStr">
        <is>
          <t>Сага о Людях Льда</t>
        </is>
      </c>
      <c r="E1278" s="1" t="inlineStr">
        <is>
          <t>Амулет висельника. Т. 16. Сандему М.</t>
        </is>
      </c>
      <c r="F1278" s="13" t="inlineStr">
        <is>
          <t>См.обл.</t>
        </is>
      </c>
      <c r="G1278" s="1" t="inlineStr">
        <is>
          <t>Сандему М.</t>
        </is>
      </c>
      <c r="H1278" s="1" t="inlineStr">
        <is>
          <t>80х100/32</t>
        </is>
      </c>
      <c r="I1278" s="1" t="n">
        <v>288</v>
      </c>
      <c r="J1278" s="1" t="inlineStr">
        <is>
          <t>Дом историй</t>
        </is>
      </c>
      <c r="K1278" s="1" t="inlineStr">
        <is>
          <t>Эвербук</t>
        </is>
      </c>
      <c r="M1278" s="1" t="inlineStr">
        <is>
          <t>2026</t>
        </is>
      </c>
      <c r="N1278" s="1" t="inlineStr">
        <is>
          <t>О</t>
        </is>
      </c>
      <c r="O1278" s="9" t="n">
        <v>16</v>
      </c>
      <c r="P1278" s="1">
        <f>ROUNDUP(590*(1-$F$3),2)</f>
        <v/>
      </c>
      <c r="Q1278" s="1" t="inlineStr">
        <is>
          <t> </t>
        </is>
      </c>
      <c r="R1278" s="1" t="inlineStr">
        <is>
          <t>978-5-0058-1071-7</t>
        </is>
      </c>
      <c r="S1278" s="1" t="inlineStr">
        <is>
          <t>9785005810717</t>
        </is>
      </c>
      <c r="T1278" s="9" t="n">
        <v>10</v>
      </c>
      <c r="U1278" s="1">
        <f>ROUNDUP(536.36*(1-$F$3),2)</f>
        <v/>
      </c>
      <c r="V1278" s="1" t="n">
        <v>199</v>
      </c>
      <c r="Y1278" s="1" t="inlineStr">
        <is>
          <t>Амулет висельника. Т. 16</t>
        </is>
      </c>
      <c r="Z1278" s="1" t="inlineStr">
        <is>
          <t>16+</t>
        </is>
      </c>
      <c r="AA1278" s="12" t="n">
        <v>46057</v>
      </c>
      <c r="AB1278" s="1" t="inlineStr">
        <is>
          <t>Художественная литература</t>
        </is>
      </c>
      <c r="AC1278" s="1" t="inlineStr">
        <is>
          <t>Фантастика. Мистика. Ужасы</t>
        </is>
      </c>
      <c r="AD1278" s="1" t="inlineStr">
        <is>
          <t>Фэнтези</t>
        </is>
      </c>
      <c r="AE1278" s="1" t="inlineStr">
        <is>
          <t>офсетная</t>
        </is>
      </c>
      <c r="AG1278" s="1" t="n">
        <v>12007180</v>
      </c>
      <c r="AI1278" s="1" t="inlineStr">
        <is>
          <t>4901990000</t>
        </is>
      </c>
    </row>
    <row r="1279" customFormat="1" s="11">
      <c r="A1279" s="11" t="inlineStr">
        <is>
          <t>нов</t>
        </is>
      </c>
      <c r="C1279" s="11" t="inlineStr">
        <is>
          <t xml:space="preserve">12269900            </t>
        </is>
      </c>
      <c r="D1279" s="11" t="inlineStr">
        <is>
          <t>Сага о Людях Льда</t>
        </is>
      </c>
      <c r="E1279" s="11" t="inlineStr">
        <is>
          <t>Весеннее жертвоприношение. Т. 23. Сандему М.</t>
        </is>
      </c>
      <c r="F1279" s="14" t="inlineStr">
        <is>
          <t>См.обл.</t>
        </is>
      </c>
      <c r="G1279" s="11" t="inlineStr">
        <is>
          <t>Сандему М.</t>
        </is>
      </c>
      <c r="H1279" s="11" t="inlineStr">
        <is>
          <t>80х100/32</t>
        </is>
      </c>
      <c r="I1279" s="11" t="n">
        <v>304</v>
      </c>
      <c r="J1279" s="11" t="inlineStr">
        <is>
          <t>Дом историй</t>
        </is>
      </c>
      <c r="K1279" s="11" t="inlineStr">
        <is>
          <t>Эвербук</t>
        </is>
      </c>
      <c r="M1279" s="11" t="inlineStr">
        <is>
          <t>2026</t>
        </is>
      </c>
      <c r="N1279" s="11" t="inlineStr">
        <is>
          <t>О</t>
        </is>
      </c>
      <c r="O1279" s="26" t="n">
        <v>14</v>
      </c>
      <c r="P1279" s="11">
        <f>ROUNDUP(590*(1-$F$3),2)</f>
        <v/>
      </c>
      <c r="Q1279" s="11" t="inlineStr">
        <is>
          <t> </t>
        </is>
      </c>
      <c r="R1279" s="11" t="inlineStr">
        <is>
          <t>978-5-0058-1149-3</t>
        </is>
      </c>
      <c r="S1279" s="11" t="inlineStr">
        <is>
          <t>9785005811493</t>
        </is>
      </c>
      <c r="T1279" s="26" t="n">
        <v>22</v>
      </c>
      <c r="U1279" s="11">
        <f>ROUNDUP(483.61*(1-$F$3),2)</f>
        <v/>
      </c>
      <c r="V1279" s="11" t="n">
        <v>205</v>
      </c>
      <c r="Y1279" s="11" t="inlineStr">
        <is>
          <t>Весеннее жертвоприношение. Т. 23</t>
        </is>
      </c>
      <c r="Z1279" s="11" t="inlineStr">
        <is>
          <t>18+</t>
        </is>
      </c>
      <c r="AA1279" s="15" t="n">
        <v>46279</v>
      </c>
      <c r="AB1279" s="11" t="inlineStr">
        <is>
          <t>Художественная литература</t>
        </is>
      </c>
      <c r="AC1279" s="11" t="inlineStr">
        <is>
          <t>Фантастика. Мистика. Ужасы</t>
        </is>
      </c>
      <c r="AD1279" s="11" t="inlineStr">
        <is>
          <t>Фэнтези</t>
        </is>
      </c>
      <c r="AE1279" s="11" t="inlineStr">
        <is>
          <t>офсетная</t>
        </is>
      </c>
      <c r="AG1279" s="11" t="n">
        <v>12269900</v>
      </c>
      <c r="AI1279" s="11" t="inlineStr">
        <is>
          <t>4901990000</t>
        </is>
      </c>
      <c r="AJ1279" s="11" t="inlineStr">
        <is>
          <t>Зпв</t>
        </is>
      </c>
    </row>
    <row r="1280" customFormat="1" s="1">
      <c r="C1280" s="1" t="inlineStr">
        <is>
          <t xml:space="preserve">12189370            </t>
        </is>
      </c>
      <c r="D1280" s="1" t="inlineStr">
        <is>
          <t>Сага о Людях Льда</t>
        </is>
      </c>
      <c r="E1280" s="1" t="inlineStr">
        <is>
          <t>Вороново крыло. Т. 20. Сандему М.</t>
        </is>
      </c>
      <c r="F1280" s="13" t="inlineStr">
        <is>
          <t>См.обл.</t>
        </is>
      </c>
      <c r="G1280" s="1" t="inlineStr">
        <is>
          <t>Сандему М.</t>
        </is>
      </c>
      <c r="H1280" s="1" t="inlineStr">
        <is>
          <t>80х100/32</t>
        </is>
      </c>
      <c r="I1280" s="1" t="n">
        <v>272</v>
      </c>
      <c r="J1280" s="1" t="inlineStr">
        <is>
          <t>Дом историй</t>
        </is>
      </c>
      <c r="K1280" s="1" t="inlineStr">
        <is>
          <t>Эвербук</t>
        </is>
      </c>
      <c r="M1280" s="1" t="inlineStr">
        <is>
          <t>2026</t>
        </is>
      </c>
      <c r="N1280" s="1" t="inlineStr">
        <is>
          <t>О</t>
        </is>
      </c>
      <c r="O1280" s="9" t="n">
        <v>16</v>
      </c>
      <c r="P1280" s="1">
        <f>ROUNDUP(590*(1-$F$3),2)</f>
        <v/>
      </c>
      <c r="Q1280" s="1" t="inlineStr">
        <is>
          <t> </t>
        </is>
      </c>
      <c r="R1280" s="1" t="inlineStr">
        <is>
          <t>978-5-0058-1079-3</t>
        </is>
      </c>
      <c r="S1280" s="1" t="inlineStr">
        <is>
          <t>9785005810793</t>
        </is>
      </c>
      <c r="T1280" s="9" t="n">
        <v>22</v>
      </c>
      <c r="U1280" s="1">
        <f>ROUNDUP(483.61*(1-$F$3),2)</f>
        <v/>
      </c>
      <c r="V1280" s="1" t="n">
        <v>191</v>
      </c>
      <c r="Y1280" s="1" t="inlineStr">
        <is>
          <t>Вороново крыло. Т. 20</t>
        </is>
      </c>
      <c r="Z1280" s="1" t="inlineStr">
        <is>
          <t>18+</t>
        </is>
      </c>
      <c r="AA1280" s="12" t="n">
        <v>46205</v>
      </c>
      <c r="AB1280" s="1" t="inlineStr">
        <is>
          <t>Художественная литература</t>
        </is>
      </c>
      <c r="AC1280" s="1" t="inlineStr">
        <is>
          <t>Фантастика. Мистика. Ужасы</t>
        </is>
      </c>
      <c r="AD1280" s="1" t="inlineStr">
        <is>
          <t>Фэнтези</t>
        </is>
      </c>
      <c r="AE1280" s="1" t="inlineStr">
        <is>
          <t>офсетная</t>
        </is>
      </c>
      <c r="AG1280" s="1" t="n">
        <v>12189370</v>
      </c>
      <c r="AI1280" s="1" t="inlineStr">
        <is>
          <t>4901990000</t>
        </is>
      </c>
    </row>
    <row r="1281" customFormat="1" s="1">
      <c r="C1281" s="1" t="inlineStr">
        <is>
          <t xml:space="preserve">11541420            </t>
        </is>
      </c>
      <c r="D1281" s="1" t="inlineStr">
        <is>
          <t>Сага о Людях Льда</t>
        </is>
      </c>
      <c r="E1281" s="1" t="inlineStr">
        <is>
          <t>Дочь палача. Т. 8. Сандему М.</t>
        </is>
      </c>
      <c r="F1281" s="13" t="inlineStr">
        <is>
          <t>См.обл.</t>
        </is>
      </c>
      <c r="G1281" s="1" t="inlineStr">
        <is>
          <t>Сандему М.</t>
        </is>
      </c>
      <c r="H1281" s="1" t="inlineStr">
        <is>
          <t>80х100/32</t>
        </is>
      </c>
      <c r="I1281" s="1" t="n">
        <v>304</v>
      </c>
      <c r="J1281" s="1" t="inlineStr">
        <is>
          <t>Дом историй</t>
        </is>
      </c>
      <c r="K1281" s="1" t="inlineStr">
        <is>
          <t>Эвербук</t>
        </is>
      </c>
      <c r="M1281" s="1" t="inlineStr">
        <is>
          <t>2026</t>
        </is>
      </c>
      <c r="N1281" s="1" t="inlineStr">
        <is>
          <t>О</t>
        </is>
      </c>
      <c r="O1281" s="9" t="n">
        <v>10</v>
      </c>
      <c r="P1281" s="1">
        <f>ROUNDUP(590*(1-$F$3),2)</f>
        <v/>
      </c>
      <c r="Q1281" s="1" t="inlineStr">
        <is>
          <t> </t>
        </is>
      </c>
      <c r="R1281" s="1" t="inlineStr">
        <is>
          <t>978-5-0058-0341-2</t>
        </is>
      </c>
      <c r="S1281" s="1" t="inlineStr">
        <is>
          <t>9785005803412</t>
        </is>
      </c>
      <c r="T1281" s="9" t="n">
        <v>10</v>
      </c>
      <c r="U1281" s="1">
        <f>ROUNDUP(536.36*(1-$F$3),2)</f>
        <v/>
      </c>
      <c r="V1281" s="1" t="n">
        <v>196</v>
      </c>
      <c r="Y1281" s="1" t="inlineStr">
        <is>
          <t>Дочь палача. Т. 8</t>
        </is>
      </c>
      <c r="Z1281" s="1" t="inlineStr">
        <is>
          <t>16+</t>
        </is>
      </c>
      <c r="AA1281" s="12" t="n">
        <v>45603</v>
      </c>
      <c r="AB1281" s="1" t="inlineStr">
        <is>
          <t>Художественная литература</t>
        </is>
      </c>
      <c r="AC1281" s="1" t="inlineStr">
        <is>
          <t>Фантастика. Мистика. Ужасы</t>
        </is>
      </c>
      <c r="AD1281" s="1" t="inlineStr">
        <is>
          <t>Фэнтези</t>
        </is>
      </c>
      <c r="AE1281" s="1" t="inlineStr">
        <is>
          <t>офсетная</t>
        </is>
      </c>
      <c r="AG1281" s="1" t="n">
        <v>11541420</v>
      </c>
      <c r="AI1281" s="1" t="inlineStr">
        <is>
          <t>4901990000</t>
        </is>
      </c>
    </row>
    <row r="1282" customFormat="1" s="1">
      <c r="C1282" s="1" t="inlineStr">
        <is>
          <t xml:space="preserve">11540730            </t>
        </is>
      </c>
      <c r="D1282" s="1" t="inlineStr">
        <is>
          <t>Сага о Людях Льда</t>
        </is>
      </c>
      <c r="E1282" s="1" t="inlineStr">
        <is>
          <t>Жар крови. Т. 12. Сандему М.</t>
        </is>
      </c>
      <c r="F1282" s="13" t="inlineStr">
        <is>
          <t>См.обл.</t>
        </is>
      </c>
      <c r="G1282" s="1" t="inlineStr">
        <is>
          <t>Сандему М.</t>
        </is>
      </c>
      <c r="H1282" s="1" t="inlineStr">
        <is>
          <t>80х100/32</t>
        </is>
      </c>
      <c r="I1282" s="1" t="n">
        <v>304</v>
      </c>
      <c r="J1282" s="1" t="inlineStr">
        <is>
          <t>Дом историй</t>
        </is>
      </c>
      <c r="K1282" s="1" t="inlineStr">
        <is>
          <t>Эвербук</t>
        </is>
      </c>
      <c r="M1282" s="1" t="inlineStr">
        <is>
          <t>2026</t>
        </is>
      </c>
      <c r="N1282" s="1" t="inlineStr">
        <is>
          <t>О</t>
        </is>
      </c>
      <c r="O1282" s="9" t="n">
        <v>14</v>
      </c>
      <c r="P1282" s="1">
        <f>ROUNDUP(590*(1-$F$3),2)</f>
        <v/>
      </c>
      <c r="Q1282" s="1" t="inlineStr">
        <is>
          <t> </t>
        </is>
      </c>
      <c r="R1282" s="1" t="inlineStr">
        <is>
          <t>978-5-0058-0516-4</t>
        </is>
      </c>
      <c r="S1282" s="1" t="inlineStr">
        <is>
          <t>9785005805164</t>
        </is>
      </c>
      <c r="T1282" s="9" t="n">
        <v>10</v>
      </c>
      <c r="U1282" s="1">
        <f>ROUNDUP(536.36*(1-$F$3),2)</f>
        <v/>
      </c>
      <c r="V1282" s="1" t="n">
        <v>221</v>
      </c>
      <c r="Y1282" s="1" t="inlineStr">
        <is>
          <t>Жар крови. Т. 12</t>
        </is>
      </c>
      <c r="Z1282" s="1" t="inlineStr">
        <is>
          <t>16+</t>
        </is>
      </c>
      <c r="AA1282" s="12" t="n">
        <v>45601</v>
      </c>
      <c r="AB1282" s="1" t="inlineStr">
        <is>
          <t>Художественная литература</t>
        </is>
      </c>
      <c r="AC1282" s="1" t="inlineStr">
        <is>
          <t>Фантастика. Мистика. Ужасы</t>
        </is>
      </c>
      <c r="AD1282" s="1" t="inlineStr">
        <is>
          <t>Фэнтези</t>
        </is>
      </c>
      <c r="AE1282" s="1" t="inlineStr">
        <is>
          <t>офсетная</t>
        </is>
      </c>
      <c r="AG1282" s="1" t="n">
        <v>11540730</v>
      </c>
      <c r="AI1282" s="1" t="inlineStr">
        <is>
          <t>4901990000</t>
        </is>
      </c>
    </row>
    <row r="1283" customFormat="1" s="1">
      <c r="C1283" s="1" t="inlineStr">
        <is>
          <t xml:space="preserve">11541410            </t>
        </is>
      </c>
      <c r="D1283" s="1" t="inlineStr">
        <is>
          <t>Сага о Людях Льда</t>
        </is>
      </c>
      <c r="E1283" s="1" t="inlineStr">
        <is>
          <t>Замок Призраков. Т. 7. Сандему М.</t>
        </is>
      </c>
      <c r="F1283" s="13" t="inlineStr">
        <is>
          <t>См.обл.</t>
        </is>
      </c>
      <c r="G1283" s="1" t="inlineStr">
        <is>
          <t>Сандему М.</t>
        </is>
      </c>
      <c r="H1283" s="1" t="inlineStr">
        <is>
          <t>80х100/32</t>
        </is>
      </c>
      <c r="I1283" s="1" t="n">
        <v>304</v>
      </c>
      <c r="J1283" s="1" t="inlineStr">
        <is>
          <t>Дом историй</t>
        </is>
      </c>
      <c r="K1283" s="1" t="inlineStr">
        <is>
          <t>Эвербук</t>
        </is>
      </c>
      <c r="M1283" s="1" t="inlineStr">
        <is>
          <t>2026</t>
        </is>
      </c>
      <c r="N1283" s="1" t="inlineStr">
        <is>
          <t>О</t>
        </is>
      </c>
      <c r="O1283" s="9" t="n">
        <v>10</v>
      </c>
      <c r="P1283" s="1">
        <f>ROUNDUP(590*(1-$F$3),2)</f>
        <v/>
      </c>
      <c r="Q1283" s="1" t="inlineStr">
        <is>
          <t> </t>
        </is>
      </c>
      <c r="R1283" s="1" t="inlineStr">
        <is>
          <t>978-5-0058-0453-2</t>
        </is>
      </c>
      <c r="S1283" s="1" t="inlineStr">
        <is>
          <t>9785005804532</t>
        </is>
      </c>
      <c r="T1283" s="9" t="n">
        <v>10</v>
      </c>
      <c r="U1283" s="1">
        <f>ROUNDUP(536.36*(1-$F$3),2)</f>
        <v/>
      </c>
      <c r="V1283" s="1" t="n">
        <v>211</v>
      </c>
      <c r="Y1283" s="1" t="inlineStr">
        <is>
          <t>Замок Призраков. Т. 7</t>
        </is>
      </c>
      <c r="Z1283" s="1" t="inlineStr">
        <is>
          <t>16+</t>
        </is>
      </c>
      <c r="AA1283" s="12" t="n">
        <v>45603</v>
      </c>
      <c r="AB1283" s="1" t="inlineStr">
        <is>
          <t>Художественная литература</t>
        </is>
      </c>
      <c r="AC1283" s="1" t="inlineStr">
        <is>
          <t>Фантастика. Мистика. Ужасы</t>
        </is>
      </c>
      <c r="AD1283" s="1" t="inlineStr">
        <is>
          <t>Фэнтези</t>
        </is>
      </c>
      <c r="AE1283" s="1" t="inlineStr">
        <is>
          <t>офсетная</t>
        </is>
      </c>
      <c r="AG1283" s="1" t="n">
        <v>11541410</v>
      </c>
      <c r="AI1283" s="1" t="inlineStr">
        <is>
          <t>4901990000</t>
        </is>
      </c>
    </row>
    <row r="1284" customFormat="1" s="1">
      <c r="C1284" s="1" t="inlineStr">
        <is>
          <t xml:space="preserve">11540720            </t>
        </is>
      </c>
      <c r="D1284" s="1" t="inlineStr">
        <is>
          <t>Сага о Людях Льда</t>
        </is>
      </c>
      <c r="E1284" s="1" t="inlineStr">
        <is>
          <t>Зимняя буря. Т. 10. Сандему М.</t>
        </is>
      </c>
      <c r="F1284" s="13" t="inlineStr">
        <is>
          <t>См.обл.</t>
        </is>
      </c>
      <c r="G1284" s="1" t="inlineStr">
        <is>
          <t>Сандему М.</t>
        </is>
      </c>
      <c r="H1284" s="1" t="inlineStr">
        <is>
          <t>80х100/32</t>
        </is>
      </c>
      <c r="I1284" s="1" t="n">
        <v>320</v>
      </c>
      <c r="J1284" s="1" t="inlineStr">
        <is>
          <t>Дом историй</t>
        </is>
      </c>
      <c r="K1284" s="1" t="inlineStr">
        <is>
          <t>Эвербук</t>
        </is>
      </c>
      <c r="M1284" s="1" t="inlineStr">
        <is>
          <t>2026</t>
        </is>
      </c>
      <c r="N1284" s="1" t="inlineStr">
        <is>
          <t>О</t>
        </is>
      </c>
      <c r="O1284" s="9" t="n">
        <v>14</v>
      </c>
      <c r="P1284" s="1">
        <f>ROUNDUP(590*(1-$F$3),2)</f>
        <v/>
      </c>
      <c r="Q1284" s="1" t="inlineStr">
        <is>
          <t> </t>
        </is>
      </c>
      <c r="R1284" s="1" t="inlineStr">
        <is>
          <t>978-5-0058-0506-5</t>
        </is>
      </c>
      <c r="S1284" s="1" t="inlineStr">
        <is>
          <t>9785005805065</t>
        </is>
      </c>
      <c r="T1284" s="9" t="n">
        <v>10</v>
      </c>
      <c r="U1284" s="1">
        <f>ROUNDUP(536.36*(1-$F$3),2)</f>
        <v/>
      </c>
      <c r="V1284" s="1" t="n">
        <v>219</v>
      </c>
      <c r="Y1284" s="1" t="inlineStr">
        <is>
          <t>Зимняя буря. Т. 10</t>
        </is>
      </c>
      <c r="Z1284" s="1" t="inlineStr">
        <is>
          <t>16+</t>
        </is>
      </c>
      <c r="AA1284" s="12" t="n">
        <v>45601</v>
      </c>
      <c r="AB1284" s="1" t="inlineStr">
        <is>
          <t>Художественная литература</t>
        </is>
      </c>
      <c r="AC1284" s="1" t="inlineStr">
        <is>
          <t>Фантастика. Мистика. Ужасы</t>
        </is>
      </c>
      <c r="AD1284" s="1" t="inlineStr">
        <is>
          <t>Фэнтези</t>
        </is>
      </c>
      <c r="AE1284" s="1" t="inlineStr">
        <is>
          <t>офсетная</t>
        </is>
      </c>
      <c r="AG1284" s="1" t="n">
        <v>11540720</v>
      </c>
      <c r="AI1284" s="1" t="inlineStr">
        <is>
          <t>4901990000</t>
        </is>
      </c>
    </row>
    <row r="1285" customFormat="1" s="1">
      <c r="C1285" s="1" t="inlineStr">
        <is>
          <t xml:space="preserve">12107340            </t>
        </is>
      </c>
      <c r="D1285" s="1" t="inlineStr">
        <is>
          <t>Сага о Людях Льда</t>
        </is>
      </c>
      <c r="E1285" s="1" t="inlineStr">
        <is>
          <t>Зубы дракона. Т. 19. Сандему М.</t>
        </is>
      </c>
      <c r="F1285" s="13" t="inlineStr">
        <is>
          <t>См.обл.</t>
        </is>
      </c>
      <c r="G1285" s="1" t="inlineStr">
        <is>
          <t>Сандему М.</t>
        </is>
      </c>
      <c r="H1285" s="1" t="inlineStr">
        <is>
          <t>80х100/32</t>
        </is>
      </c>
      <c r="I1285" s="1" t="n">
        <v>272</v>
      </c>
      <c r="J1285" s="1" t="inlineStr">
        <is>
          <t>Дом историй</t>
        </is>
      </c>
      <c r="K1285" s="1" t="inlineStr">
        <is>
          <t>Эвербук</t>
        </is>
      </c>
      <c r="M1285" s="1" t="inlineStr">
        <is>
          <t>2026</t>
        </is>
      </c>
      <c r="N1285" s="1" t="inlineStr">
        <is>
          <t>О</t>
        </is>
      </c>
      <c r="O1285" s="9" t="n">
        <v>12</v>
      </c>
      <c r="P1285" s="1">
        <f>ROUNDUP(590*(1-$F$3),2)</f>
        <v/>
      </c>
      <c r="Q1285" s="1" t="inlineStr">
        <is>
          <t> </t>
        </is>
      </c>
      <c r="R1285" s="1" t="inlineStr">
        <is>
          <t>978-5-0058-1078-6</t>
        </is>
      </c>
      <c r="S1285" s="1" t="inlineStr">
        <is>
          <t>9785005810786</t>
        </is>
      </c>
      <c r="T1285" s="9" t="n">
        <v>22</v>
      </c>
      <c r="U1285" s="1">
        <f>ROUNDUP(483.61*(1-$F$3),2)</f>
        <v/>
      </c>
      <c r="V1285" s="1" t="n">
        <v>179</v>
      </c>
      <c r="Y1285" s="1" t="inlineStr">
        <is>
          <t>Зубы дракона. Т. 19</t>
        </is>
      </c>
      <c r="Z1285" s="1" t="inlineStr">
        <is>
          <t>18+</t>
        </is>
      </c>
      <c r="AA1285" s="12" t="n">
        <v>46175</v>
      </c>
      <c r="AB1285" s="1" t="inlineStr">
        <is>
          <t>Художественная литература</t>
        </is>
      </c>
      <c r="AC1285" s="1" t="inlineStr">
        <is>
          <t>Фантастика. Мистика. Ужасы</t>
        </is>
      </c>
      <c r="AD1285" s="1" t="inlineStr">
        <is>
          <t>Фэнтези</t>
        </is>
      </c>
      <c r="AE1285" s="1" t="inlineStr">
        <is>
          <t>офсетная</t>
        </is>
      </c>
      <c r="AG1285" s="1" t="n">
        <v>12107340</v>
      </c>
      <c r="AI1285" s="1" t="inlineStr">
        <is>
          <t>4901990000</t>
        </is>
      </c>
    </row>
    <row r="1286" customFormat="1" s="1">
      <c r="C1286" s="1" t="inlineStr">
        <is>
          <t xml:space="preserve">11540740            </t>
        </is>
      </c>
      <c r="D1286" s="1" t="inlineStr">
        <is>
          <t>Сага о Людях Льда</t>
        </is>
      </c>
      <c r="E1286" s="1" t="inlineStr">
        <is>
          <t>Кровная месть. Т. 11. Сандему М.</t>
        </is>
      </c>
      <c r="F1286" s="13" t="inlineStr">
        <is>
          <t>См.обл.</t>
        </is>
      </c>
      <c r="G1286" s="1" t="inlineStr">
        <is>
          <t>Сандему М.</t>
        </is>
      </c>
      <c r="H1286" s="1" t="inlineStr">
        <is>
          <t>80х100/32</t>
        </is>
      </c>
      <c r="I1286" s="1" t="n">
        <v>320</v>
      </c>
      <c r="J1286" s="1" t="inlineStr">
        <is>
          <t>Дом историй</t>
        </is>
      </c>
      <c r="K1286" s="1" t="inlineStr">
        <is>
          <t>Эвербук</t>
        </is>
      </c>
      <c r="M1286" s="1" t="inlineStr">
        <is>
          <t>2026</t>
        </is>
      </c>
      <c r="N1286" s="1" t="inlineStr">
        <is>
          <t>О</t>
        </is>
      </c>
      <c r="O1286" s="9" t="n">
        <v>10</v>
      </c>
      <c r="P1286" s="1">
        <f>ROUNDUP(590*(1-$F$3),2)</f>
        <v/>
      </c>
      <c r="Q1286" s="1" t="inlineStr">
        <is>
          <t> </t>
        </is>
      </c>
      <c r="R1286" s="1" t="inlineStr">
        <is>
          <t>978-5-0058-0508-9</t>
        </is>
      </c>
      <c r="S1286" s="1" t="inlineStr">
        <is>
          <t>9785005805089</t>
        </is>
      </c>
      <c r="T1286" s="9" t="n">
        <v>10</v>
      </c>
      <c r="U1286" s="1">
        <f>ROUNDUP(536.36*(1-$F$3),2)</f>
        <v/>
      </c>
      <c r="V1286" s="1" t="n">
        <v>204</v>
      </c>
      <c r="Y1286" s="1" t="inlineStr">
        <is>
          <t>Кровная месть. Т. 11</t>
        </is>
      </c>
      <c r="Z1286" s="1" t="inlineStr">
        <is>
          <t>16+</t>
        </is>
      </c>
      <c r="AA1286" s="12" t="n">
        <v>45601</v>
      </c>
      <c r="AB1286" s="1" t="inlineStr">
        <is>
          <t>Художественная литература</t>
        </is>
      </c>
      <c r="AC1286" s="1" t="inlineStr">
        <is>
          <t>Фантастика. Мистика. Ужасы</t>
        </is>
      </c>
      <c r="AD1286" s="1" t="inlineStr">
        <is>
          <t>Фэнтези</t>
        </is>
      </c>
      <c r="AE1286" s="1" t="inlineStr">
        <is>
          <t>офсетная</t>
        </is>
      </c>
      <c r="AG1286" s="1" t="n">
        <v>11540740</v>
      </c>
      <c r="AI1286" s="1" t="inlineStr">
        <is>
          <t>4901990000</t>
        </is>
      </c>
    </row>
    <row r="1287" customFormat="1" s="1">
      <c r="C1287" s="1" t="inlineStr">
        <is>
          <t xml:space="preserve">11541220            </t>
        </is>
      </c>
      <c r="D1287" s="1" t="inlineStr">
        <is>
          <t>Сага о Людях Льда</t>
        </is>
      </c>
      <c r="E1287" s="1" t="inlineStr">
        <is>
          <t>Люди льда: Т. 1-3 (комплект из 3-х книг). Сандему М.</t>
        </is>
      </c>
      <c r="F1287" s="13" t="inlineStr">
        <is>
          <t>См.обл.</t>
        </is>
      </c>
      <c r="G1287" s="1" t="inlineStr">
        <is>
          <t>Сандему М.</t>
        </is>
      </c>
      <c r="H1287" s="1" t="inlineStr">
        <is>
          <t>80х100/32</t>
        </is>
      </c>
      <c r="I1287" s="1" t="n">
        <v>1024</v>
      </c>
      <c r="J1287" s="1" t="inlineStr">
        <is>
          <t>Дом историй</t>
        </is>
      </c>
      <c r="K1287" s="1" t="inlineStr">
        <is>
          <t>Эвербук</t>
        </is>
      </c>
      <c r="M1287" s="1" t="inlineStr">
        <is>
          <t>2026</t>
        </is>
      </c>
      <c r="N1287" s="1" t="inlineStr">
        <is>
          <t>О</t>
        </is>
      </c>
      <c r="O1287" s="9" t="n"/>
      <c r="P1287" s="1">
        <f>ROUNDUP(1590*(1-$F$3),2)</f>
        <v/>
      </c>
      <c r="Q1287" s="1" t="inlineStr">
        <is>
          <t> </t>
        </is>
      </c>
      <c r="R1287" s="1" t="inlineStr">
        <is>
          <t>978-5-521-82546-2</t>
        </is>
      </c>
      <c r="S1287" s="1" t="inlineStr">
        <is>
          <t>9785521825462</t>
        </is>
      </c>
      <c r="T1287" s="9" t="n">
        <v>10</v>
      </c>
      <c r="U1287" s="1">
        <f>ROUNDUP(1445.45*(1-$F$3),2)</f>
        <v/>
      </c>
      <c r="V1287" s="1" t="n">
        <v>702</v>
      </c>
      <c r="Y1287" s="1" t="inlineStr">
        <is>
          <t>Люди льда: Т. 1-3 (комплект из 3-х книг)</t>
        </is>
      </c>
      <c r="Z1287" s="1" t="inlineStr">
        <is>
          <t>16+</t>
        </is>
      </c>
      <c r="AA1287" s="12" t="n">
        <v>45603</v>
      </c>
      <c r="AB1287" s="1" t="inlineStr">
        <is>
          <t>Художественная литература</t>
        </is>
      </c>
      <c r="AC1287" s="1" t="inlineStr">
        <is>
          <t>Фантастика. Мистика. Ужасы</t>
        </is>
      </c>
      <c r="AD1287" s="1" t="inlineStr">
        <is>
          <t>Фэнтези</t>
        </is>
      </c>
      <c r="AE1287" s="1" t="inlineStr">
        <is>
          <t>офсетная</t>
        </is>
      </c>
      <c r="AG1287" s="1" t="n">
        <v>11541220</v>
      </c>
      <c r="AI1287" s="1" t="inlineStr">
        <is>
          <t>4901990000</t>
        </is>
      </c>
    </row>
    <row r="1288" customFormat="1" s="1">
      <c r="C1288" s="1" t="inlineStr">
        <is>
          <t>12218080</t>
        </is>
      </c>
      <c r="D1288" s="1" t="inlineStr">
        <is>
          <t>Сага о Людях Льда</t>
        </is>
      </c>
      <c r="E1288" s="1" t="inlineStr">
        <is>
          <t>Люди льда: Т. 18-20 (комплект из 3-х книг). Сандему М.</t>
        </is>
      </c>
      <c r="F1288" s="13" t="inlineStr">
        <is>
          <t>См.обл.</t>
        </is>
      </c>
      <c r="G1288" s="1" t="inlineStr">
        <is>
          <t>Сандему М.</t>
        </is>
      </c>
      <c r="H1288" s="1" t="inlineStr">
        <is>
          <t>80х100/32</t>
        </is>
      </c>
      <c r="I1288" s="1" t="n">
        <v>832</v>
      </c>
      <c r="J1288" s="1" t="inlineStr">
        <is>
          <t>Дом историй</t>
        </is>
      </c>
      <c r="K1288" s="1" t="inlineStr">
        <is>
          <t>Эвербук</t>
        </is>
      </c>
      <c r="M1288" s="1" t="inlineStr">
        <is>
          <t>2026</t>
        </is>
      </c>
      <c r="N1288" s="1" t="inlineStr">
        <is>
          <t>О</t>
        </is>
      </c>
      <c r="O1288" s="9" t="n"/>
      <c r="P1288" s="1">
        <f>ROUNDUP(1680*(1-$F$3),2)</f>
        <v/>
      </c>
      <c r="Q1288" s="1" t="inlineStr">
        <is>
          <t> </t>
        </is>
      </c>
      <c r="R1288" s="1" t="inlineStr">
        <is>
          <t>978-5-8853-9896-1</t>
        </is>
      </c>
      <c r="S1288" s="1" t="inlineStr">
        <is>
          <t>9785885398961</t>
        </is>
      </c>
      <c r="T1288" s="9" t="n">
        <v>22</v>
      </c>
      <c r="U1288" s="1">
        <f>ROUNDUP(1377.05*(1-$F$3),2)</f>
        <v/>
      </c>
      <c r="V1288" s="1" t="n">
        <v>556</v>
      </c>
      <c r="Y1288" s="1" t="inlineStr">
        <is>
          <t>Люди льда: Т. 18-20 (комплект из 3-х книг)</t>
        </is>
      </c>
      <c r="Z1288" s="1" t="inlineStr">
        <is>
          <t>18+</t>
        </is>
      </c>
      <c r="AA1288" s="12" t="n">
        <v>46224</v>
      </c>
      <c r="AB1288" s="1" t="inlineStr">
        <is>
          <t>Художественная литература</t>
        </is>
      </c>
      <c r="AC1288" s="1" t="inlineStr">
        <is>
          <t>Фантастика. Мистика. Ужасы</t>
        </is>
      </c>
      <c r="AD1288" s="1" t="inlineStr">
        <is>
          <t>Фэнтези</t>
        </is>
      </c>
      <c r="AE1288" s="1" t="inlineStr">
        <is>
          <t>офсетная</t>
        </is>
      </c>
      <c r="AG1288" s="1" t="n">
        <v>12218080</v>
      </c>
      <c r="AI1288" s="1" t="inlineStr">
        <is>
          <t>4901990000</t>
        </is>
      </c>
    </row>
    <row r="1289" customFormat="1" s="1">
      <c r="C1289" s="1" t="inlineStr">
        <is>
          <t xml:space="preserve">11541160            </t>
        </is>
      </c>
      <c r="D1289" s="1" t="inlineStr">
        <is>
          <t>Сага о Людях Льда</t>
        </is>
      </c>
      <c r="E1289" s="1" t="inlineStr">
        <is>
          <t>Наследие проклятых. Т. 6. Сандему М.</t>
        </is>
      </c>
      <c r="F1289" s="13" t="inlineStr">
        <is>
          <t>См.обл.</t>
        </is>
      </c>
      <c r="G1289" s="1" t="inlineStr">
        <is>
          <t>Сандему М.</t>
        </is>
      </c>
      <c r="H1289" s="1" t="inlineStr">
        <is>
          <t>80х100/32</t>
        </is>
      </c>
      <c r="I1289" s="1" t="n">
        <v>320</v>
      </c>
      <c r="J1289" s="1" t="inlineStr">
        <is>
          <t>Дом историй</t>
        </is>
      </c>
      <c r="K1289" s="1" t="inlineStr">
        <is>
          <t>Эвербук</t>
        </is>
      </c>
      <c r="M1289" s="1" t="inlineStr">
        <is>
          <t>2024</t>
        </is>
      </c>
      <c r="N1289" s="1" t="inlineStr">
        <is>
          <t>О</t>
        </is>
      </c>
      <c r="O1289" s="9" t="n">
        <v>10</v>
      </c>
      <c r="P1289" s="1">
        <f>ROUNDUP(590*(1-$F$3),2)</f>
        <v/>
      </c>
      <c r="Q1289" s="1" t="inlineStr">
        <is>
          <t> </t>
        </is>
      </c>
      <c r="R1289" s="1" t="inlineStr">
        <is>
          <t>978-5-0058-0236-1</t>
        </is>
      </c>
      <c r="S1289" s="1" t="inlineStr">
        <is>
          <t>9785005802361</t>
        </is>
      </c>
      <c r="T1289" s="9" t="n">
        <v>10</v>
      </c>
      <c r="U1289" s="1">
        <f>ROUNDUP(536.36*(1-$F$3),2)</f>
        <v/>
      </c>
      <c r="V1289" s="1" t="n">
        <v>199</v>
      </c>
      <c r="Y1289" s="1" t="inlineStr">
        <is>
          <t>Наследие проклятых. Т. 6</t>
        </is>
      </c>
      <c r="Z1289" s="1" t="inlineStr">
        <is>
          <t>16+</t>
        </is>
      </c>
      <c r="AA1289" s="12" t="n">
        <v>45603</v>
      </c>
      <c r="AB1289" s="1" t="inlineStr">
        <is>
          <t>Художественная литература</t>
        </is>
      </c>
      <c r="AC1289" s="1" t="inlineStr">
        <is>
          <t>Фантастика. Мистика. Ужасы</t>
        </is>
      </c>
      <c r="AD1289" s="1" t="inlineStr">
        <is>
          <t>Фэнтези</t>
        </is>
      </c>
      <c r="AE1289" s="1" t="inlineStr">
        <is>
          <t>офсетная</t>
        </is>
      </c>
      <c r="AG1289" s="1" t="n">
        <v>11541160</v>
      </c>
      <c r="AI1289" s="1" t="inlineStr">
        <is>
          <t>4901990000</t>
        </is>
      </c>
      <c r="AJ1289" s="1" t="inlineStr">
        <is>
          <t>Зпв</t>
        </is>
      </c>
    </row>
    <row r="1290" customFormat="1" s="1">
      <c r="C1290" s="1" t="inlineStr">
        <is>
          <t xml:space="preserve">12219130            </t>
        </is>
      </c>
      <c r="D1290" s="1" t="inlineStr">
        <is>
          <t>Сага о Людях Льда</t>
        </is>
      </c>
      <c r="E1290" s="1" t="inlineStr">
        <is>
          <t>Овраг Дьявола. Т. 21. Сандему М.</t>
        </is>
      </c>
      <c r="F1290" s="13" t="inlineStr">
        <is>
          <t>См.обл.</t>
        </is>
      </c>
      <c r="G1290" s="1" t="inlineStr">
        <is>
          <t>Сандему М.</t>
        </is>
      </c>
      <c r="H1290" s="1" t="inlineStr">
        <is>
          <t>80х100/32</t>
        </is>
      </c>
      <c r="I1290" s="1" t="n">
        <v>272</v>
      </c>
      <c r="J1290" s="1" t="inlineStr">
        <is>
          <t>Дом историй</t>
        </is>
      </c>
      <c r="K1290" s="1" t="inlineStr">
        <is>
          <t>Эвербук</t>
        </is>
      </c>
      <c r="M1290" s="1" t="inlineStr">
        <is>
          <t>2026</t>
        </is>
      </c>
      <c r="N1290" s="1" t="inlineStr">
        <is>
          <t>О</t>
        </is>
      </c>
      <c r="O1290" s="9" t="n">
        <v>16</v>
      </c>
      <c r="P1290" s="1">
        <f>ROUNDUP(590*(1-$F$3),2)</f>
        <v/>
      </c>
      <c r="Q1290" s="1" t="inlineStr">
        <is>
          <t> </t>
        </is>
      </c>
      <c r="R1290" s="1" t="inlineStr">
        <is>
          <t>978-5-0058-1080-9</t>
        </is>
      </c>
      <c r="S1290" s="1" t="inlineStr">
        <is>
          <t>9785005810809</t>
        </is>
      </c>
      <c r="T1290" s="9" t="n">
        <v>22</v>
      </c>
      <c r="U1290" s="1">
        <f>ROUNDUP(483.61*(1-$F$3),2)</f>
        <v/>
      </c>
      <c r="V1290" s="1" t="n">
        <v>183</v>
      </c>
      <c r="Y1290" s="1" t="inlineStr">
        <is>
          <t>Овраг Дьявола. Т. 21</t>
        </is>
      </c>
      <c r="Z1290" s="1" t="inlineStr">
        <is>
          <t>18+</t>
        </is>
      </c>
      <c r="AA1290" s="12" t="n">
        <v>46230</v>
      </c>
      <c r="AB1290" s="1" t="inlineStr">
        <is>
          <t>Художественная литература</t>
        </is>
      </c>
      <c r="AC1290" s="1" t="inlineStr">
        <is>
          <t>Фантастика. Мистика. Ужасы</t>
        </is>
      </c>
      <c r="AD1290" s="1" t="inlineStr">
        <is>
          <t>Фэнтези</t>
        </is>
      </c>
      <c r="AE1290" s="1" t="inlineStr">
        <is>
          <t>офсетная</t>
        </is>
      </c>
      <c r="AG1290" s="1" t="n">
        <v>12219130</v>
      </c>
      <c r="AI1290" s="1" t="inlineStr">
        <is>
          <t>4901990000</t>
        </is>
      </c>
    </row>
    <row r="1291" customFormat="1" s="1">
      <c r="C1291" s="1" t="inlineStr">
        <is>
          <t xml:space="preserve">11541210            </t>
        </is>
      </c>
      <c r="D1291" s="1" t="inlineStr">
        <is>
          <t>Сага о Людях Льда</t>
        </is>
      </c>
      <c r="E1291" s="1" t="inlineStr">
        <is>
          <t>Околдованная. Т. 1. Сандему М.</t>
        </is>
      </c>
      <c r="F1291" s="13" t="inlineStr">
        <is>
          <t>См.обл.</t>
        </is>
      </c>
      <c r="G1291" s="1" t="inlineStr">
        <is>
          <t>Сандему М.</t>
        </is>
      </c>
      <c r="H1291" s="1" t="inlineStr">
        <is>
          <t>80х100/32</t>
        </is>
      </c>
      <c r="I1291" s="1" t="n">
        <v>336</v>
      </c>
      <c r="J1291" s="1" t="inlineStr">
        <is>
          <t>Дом историй</t>
        </is>
      </c>
      <c r="K1291" s="1" t="inlineStr">
        <is>
          <t>Эвербук</t>
        </is>
      </c>
      <c r="M1291" s="1" t="inlineStr">
        <is>
          <t>2026</t>
        </is>
      </c>
      <c r="N1291" s="1" t="inlineStr">
        <is>
          <t>О</t>
        </is>
      </c>
      <c r="O1291" s="9" t="n">
        <v>16</v>
      </c>
      <c r="P1291" s="1">
        <f>ROUNDUP(590*(1-$F$3),2)</f>
        <v/>
      </c>
      <c r="Q1291" s="1" t="inlineStr">
        <is>
          <t> </t>
        </is>
      </c>
      <c r="R1291" s="1" t="inlineStr">
        <is>
          <t>978-5-0058-0162-3</t>
        </is>
      </c>
      <c r="S1291" s="1" t="inlineStr">
        <is>
          <t>9785005801623</t>
        </is>
      </c>
      <c r="T1291" s="9" t="n">
        <v>10</v>
      </c>
      <c r="U1291" s="1">
        <f>ROUNDUP(536.36*(1-$F$3),2)</f>
        <v/>
      </c>
      <c r="V1291" s="1" t="n">
        <v>231</v>
      </c>
      <c r="Y1291" s="1" t="inlineStr">
        <is>
          <t>Околдованная. Т. 1</t>
        </is>
      </c>
      <c r="Z1291" s="1" t="inlineStr">
        <is>
          <t>16+</t>
        </is>
      </c>
      <c r="AA1291" s="12" t="n">
        <v>45603</v>
      </c>
      <c r="AB1291" s="1" t="inlineStr">
        <is>
          <t>Художественная литература</t>
        </is>
      </c>
      <c r="AC1291" s="1" t="inlineStr">
        <is>
          <t>Фантастика. Мистика. Ужасы</t>
        </is>
      </c>
      <c r="AD1291" s="1" t="inlineStr">
        <is>
          <t>Фэнтези</t>
        </is>
      </c>
      <c r="AE1291" s="1" t="inlineStr">
        <is>
          <t>офсетная</t>
        </is>
      </c>
      <c r="AG1291" s="1" t="n">
        <v>11541210</v>
      </c>
      <c r="AI1291" s="1" t="inlineStr">
        <is>
          <t>4901990000</t>
        </is>
      </c>
    </row>
    <row r="1292" customFormat="1" s="1">
      <c r="C1292" s="1" t="inlineStr">
        <is>
          <t xml:space="preserve">11541200            </t>
        </is>
      </c>
      <c r="D1292" s="1" t="inlineStr">
        <is>
          <t>Сага о Людях Льда</t>
        </is>
      </c>
      <c r="E1292" s="1" t="inlineStr">
        <is>
          <t>Охота на ведьм. Т. 2. Сандему М.</t>
        </is>
      </c>
      <c r="F1292" s="13" t="inlineStr">
        <is>
          <t>См.обл.</t>
        </is>
      </c>
      <c r="G1292" s="1" t="inlineStr">
        <is>
          <t>Сандему М.</t>
        </is>
      </c>
      <c r="H1292" s="1" t="inlineStr">
        <is>
          <t>80х100/32</t>
        </is>
      </c>
      <c r="I1292" s="1" t="n">
        <v>320</v>
      </c>
      <c r="J1292" s="1" t="inlineStr">
        <is>
          <t>Дом историй</t>
        </is>
      </c>
      <c r="K1292" s="1" t="inlineStr">
        <is>
          <t>Эвербук</t>
        </is>
      </c>
      <c r="M1292" s="1" t="inlineStr">
        <is>
          <t>2026</t>
        </is>
      </c>
      <c r="N1292" s="1" t="inlineStr">
        <is>
          <t>О</t>
        </is>
      </c>
      <c r="O1292" s="9" t="n">
        <v>12</v>
      </c>
      <c r="P1292" s="1">
        <f>ROUNDUP(590*(1-$F$3),2)</f>
        <v/>
      </c>
      <c r="Q1292" s="1" t="inlineStr">
        <is>
          <t> </t>
        </is>
      </c>
      <c r="R1292" s="1" t="inlineStr">
        <is>
          <t>978-5-0058-0165-4</t>
        </is>
      </c>
      <c r="S1292" s="1" t="inlineStr">
        <is>
          <t>9785005801654</t>
        </is>
      </c>
      <c r="T1292" s="9" t="n">
        <v>10</v>
      </c>
      <c r="U1292" s="1">
        <f>ROUNDUP(536.36*(1-$F$3),2)</f>
        <v/>
      </c>
      <c r="V1292" s="1" t="n">
        <v>236</v>
      </c>
      <c r="Y1292" s="1" t="inlineStr">
        <is>
          <t>Охота на ведьм. Т. 2</t>
        </is>
      </c>
      <c r="Z1292" s="1" t="inlineStr">
        <is>
          <t>16+</t>
        </is>
      </c>
      <c r="AA1292" s="12" t="n">
        <v>45603</v>
      </c>
      <c r="AB1292" s="1" t="inlineStr">
        <is>
          <t>Художественная литература</t>
        </is>
      </c>
      <c r="AC1292" s="1" t="inlineStr">
        <is>
          <t>Фантастика. Мистика. Ужасы</t>
        </is>
      </c>
      <c r="AD1292" s="1" t="inlineStr">
        <is>
          <t>Фэнтези</t>
        </is>
      </c>
      <c r="AE1292" s="1" t="inlineStr">
        <is>
          <t>офсетная</t>
        </is>
      </c>
      <c r="AG1292" s="1" t="n">
        <v>11541200</v>
      </c>
      <c r="AI1292" s="1" t="inlineStr">
        <is>
          <t>4901990000</t>
        </is>
      </c>
    </row>
    <row r="1293" customFormat="1" s="1">
      <c r="C1293" s="1" t="inlineStr">
        <is>
          <t xml:space="preserve">11541180            </t>
        </is>
      </c>
      <c r="D1293" s="1" t="inlineStr">
        <is>
          <t>Сага о Людях Льда</t>
        </is>
      </c>
      <c r="E1293" s="1" t="inlineStr">
        <is>
          <t>Предчувствие. Т. 4. Сандему М.</t>
        </is>
      </c>
      <c r="F1293" s="13" t="inlineStr">
        <is>
          <t>См.обл.</t>
        </is>
      </c>
      <c r="G1293" s="1" t="inlineStr">
        <is>
          <t>Сандему М.</t>
        </is>
      </c>
      <c r="H1293" s="1" t="inlineStr">
        <is>
          <t>80х100/32</t>
        </is>
      </c>
      <c r="I1293" s="1" t="n">
        <v>352</v>
      </c>
      <c r="J1293" s="1" t="inlineStr">
        <is>
          <t>Дом историй</t>
        </is>
      </c>
      <c r="K1293" s="1" t="inlineStr">
        <is>
          <t>Эвербук</t>
        </is>
      </c>
      <c r="M1293" s="1" t="inlineStr">
        <is>
          <t>2024</t>
        </is>
      </c>
      <c r="N1293" s="1" t="inlineStr">
        <is>
          <t>О</t>
        </is>
      </c>
      <c r="O1293" s="9" t="n">
        <v>10</v>
      </c>
      <c r="P1293" s="1">
        <f>ROUNDUP(590*(1-$F$3),2)</f>
        <v/>
      </c>
      <c r="Q1293" s="1" t="inlineStr">
        <is>
          <t> </t>
        </is>
      </c>
      <c r="R1293" s="1" t="inlineStr">
        <is>
          <t>978-5-0058-0234-7</t>
        </is>
      </c>
      <c r="S1293" s="1" t="inlineStr">
        <is>
          <t>9785005802347</t>
        </is>
      </c>
      <c r="T1293" s="9" t="n">
        <v>10</v>
      </c>
      <c r="U1293" s="1">
        <f>ROUNDUP(536.36*(1-$F$3),2)</f>
        <v/>
      </c>
      <c r="V1293" s="1" t="n">
        <v>218</v>
      </c>
      <c r="Y1293" s="1" t="inlineStr">
        <is>
          <t>Предчувствие. Т. 4</t>
        </is>
      </c>
      <c r="Z1293" s="1" t="inlineStr">
        <is>
          <t>16+</t>
        </is>
      </c>
      <c r="AA1293" s="12" t="n">
        <v>45603</v>
      </c>
      <c r="AB1293" s="1" t="inlineStr">
        <is>
          <t>Художественная литература</t>
        </is>
      </c>
      <c r="AC1293" s="1" t="inlineStr">
        <is>
          <t>Фантастика. Мистика. Ужасы</t>
        </is>
      </c>
      <c r="AD1293" s="1" t="inlineStr">
        <is>
          <t>Фэнтези</t>
        </is>
      </c>
      <c r="AE1293" s="1" t="inlineStr">
        <is>
          <t>офсетная</t>
        </is>
      </c>
      <c r="AG1293" s="1" t="n">
        <v>11541180</v>
      </c>
      <c r="AI1293" s="1" t="inlineStr">
        <is>
          <t>4901990000</t>
        </is>
      </c>
    </row>
    <row r="1294" customFormat="1" s="1">
      <c r="C1294" s="1" t="inlineStr">
        <is>
          <t xml:space="preserve">11541190            </t>
        </is>
      </c>
      <c r="D1294" s="1" t="inlineStr">
        <is>
          <t>Сага о Людях Льда</t>
        </is>
      </c>
      <c r="E1294" s="1" t="inlineStr">
        <is>
          <t>Преисподняя. Т. 3. Сандему М.</t>
        </is>
      </c>
      <c r="F1294" s="13" t="inlineStr">
        <is>
          <t>См.обл.</t>
        </is>
      </c>
      <c r="G1294" s="1" t="inlineStr">
        <is>
          <t>Сандему М.</t>
        </is>
      </c>
      <c r="H1294" s="1" t="inlineStr">
        <is>
          <t>80х100/32</t>
        </is>
      </c>
      <c r="I1294" s="1" t="n">
        <v>368</v>
      </c>
      <c r="J1294" s="1" t="inlineStr">
        <is>
          <t>Дом историй</t>
        </is>
      </c>
      <c r="K1294" s="1" t="inlineStr">
        <is>
          <t>Эвербук</t>
        </is>
      </c>
      <c r="M1294" s="1" t="inlineStr">
        <is>
          <t>2024</t>
        </is>
      </c>
      <c r="N1294" s="1" t="inlineStr">
        <is>
          <t>О</t>
        </is>
      </c>
      <c r="O1294" s="9" t="n">
        <v>8</v>
      </c>
      <c r="P1294" s="1">
        <f>ROUNDUP(590*(1-$F$3),2)</f>
        <v/>
      </c>
      <c r="Q1294" s="1" t="inlineStr">
        <is>
          <t> </t>
        </is>
      </c>
      <c r="R1294" s="1" t="inlineStr">
        <is>
          <t>978-5-0058-0164-7</t>
        </is>
      </c>
      <c r="S1294" s="1" t="inlineStr">
        <is>
          <t>9785005801647</t>
        </is>
      </c>
      <c r="T1294" s="9" t="n">
        <v>10</v>
      </c>
      <c r="U1294" s="1">
        <f>ROUNDUP(536.36*(1-$F$3),2)</f>
        <v/>
      </c>
      <c r="V1294" s="1" t="n">
        <v>256</v>
      </c>
      <c r="Y1294" s="1" t="inlineStr">
        <is>
          <t>Преисподняя. Т. 3</t>
        </is>
      </c>
      <c r="Z1294" s="1" t="inlineStr">
        <is>
          <t>16+</t>
        </is>
      </c>
      <c r="AA1294" s="12" t="n">
        <v>45603</v>
      </c>
      <c r="AB1294" s="1" t="inlineStr">
        <is>
          <t>Художественная литература</t>
        </is>
      </c>
      <c r="AC1294" s="1" t="inlineStr">
        <is>
          <t>Фантастика. Мистика. Ужасы</t>
        </is>
      </c>
      <c r="AD1294" s="1" t="inlineStr">
        <is>
          <t>Фэнтези</t>
        </is>
      </c>
      <c r="AE1294" s="1" t="inlineStr">
        <is>
          <t>офсетная</t>
        </is>
      </c>
      <c r="AG1294" s="1" t="n">
        <v>11541190</v>
      </c>
      <c r="AI1294" s="1" t="inlineStr">
        <is>
          <t>4901990000</t>
        </is>
      </c>
    </row>
    <row r="1295" customFormat="1" s="1">
      <c r="C1295" s="1" t="inlineStr">
        <is>
          <t xml:space="preserve">12082470            </t>
        </is>
      </c>
      <c r="D1295" s="1" t="inlineStr">
        <is>
          <t>Сага о Людях Льда</t>
        </is>
      </c>
      <c r="E1295" s="1" t="inlineStr">
        <is>
          <t>Притворщики. Т. 18. Сандему М.</t>
        </is>
      </c>
      <c r="F1295" s="13" t="inlineStr">
        <is>
          <t>См.обл.</t>
        </is>
      </c>
      <c r="G1295" s="1" t="inlineStr">
        <is>
          <t>Сандему М.</t>
        </is>
      </c>
      <c r="H1295" s="1" t="inlineStr">
        <is>
          <t>80х100/32</t>
        </is>
      </c>
      <c r="I1295" s="1" t="n">
        <v>288</v>
      </c>
      <c r="J1295" s="1" t="inlineStr">
        <is>
          <t>Дом историй</t>
        </is>
      </c>
      <c r="K1295" s="1" t="inlineStr">
        <is>
          <t>Эвербук</t>
        </is>
      </c>
      <c r="M1295" s="1" t="inlineStr">
        <is>
          <t>2026</t>
        </is>
      </c>
      <c r="N1295" s="1" t="inlineStr">
        <is>
          <t>О</t>
        </is>
      </c>
      <c r="O1295" s="9" t="n">
        <v>12</v>
      </c>
      <c r="P1295" s="1">
        <f>ROUNDUP(590*(1-$F$3),2)</f>
        <v/>
      </c>
      <c r="Q1295" s="1" t="inlineStr">
        <is>
          <t> </t>
        </is>
      </c>
      <c r="R1295" s="1" t="inlineStr">
        <is>
          <t>978-5-0058-1073-1</t>
        </is>
      </c>
      <c r="S1295" s="1" t="inlineStr">
        <is>
          <t>9785005810731</t>
        </is>
      </c>
      <c r="T1295" s="9" t="n">
        <v>10</v>
      </c>
      <c r="U1295" s="1">
        <f>ROUNDUP(536.36*(1-$F$3),2)</f>
        <v/>
      </c>
      <c r="V1295" s="1" t="n">
        <v>183</v>
      </c>
      <c r="Y1295" s="1" t="inlineStr">
        <is>
          <t>Притворщики. Т. 18</t>
        </is>
      </c>
      <c r="Z1295" s="1" t="inlineStr">
        <is>
          <t>16+</t>
        </is>
      </c>
      <c r="AA1295" s="12" t="n">
        <v>46131</v>
      </c>
      <c r="AB1295" s="1" t="inlineStr">
        <is>
          <t>Художественная литература</t>
        </is>
      </c>
      <c r="AC1295" s="1" t="inlineStr">
        <is>
          <t>Фантастика. Мистика. Ужасы</t>
        </is>
      </c>
      <c r="AD1295" s="1" t="inlineStr">
        <is>
          <t>Фэнтези</t>
        </is>
      </c>
      <c r="AE1295" s="1" t="inlineStr">
        <is>
          <t>офсетная</t>
        </is>
      </c>
      <c r="AG1295" s="1" t="n">
        <v>12082470</v>
      </c>
      <c r="AI1295" s="1" t="inlineStr">
        <is>
          <t>4901990000</t>
        </is>
      </c>
    </row>
    <row r="1296" customFormat="1" s="1">
      <c r="C1296" s="1" t="inlineStr">
        <is>
          <t xml:space="preserve">12041910            </t>
        </is>
      </c>
      <c r="D1296" s="1" t="inlineStr">
        <is>
          <t>Сага о Людях Льда</t>
        </is>
      </c>
      <c r="E1296" s="1" t="inlineStr">
        <is>
          <t>Сад смерти. Т. 17. Сандему М.</t>
        </is>
      </c>
      <c r="F1296" s="13" t="inlineStr">
        <is>
          <t>См.обл.</t>
        </is>
      </c>
      <c r="G1296" s="1" t="inlineStr">
        <is>
          <t>Сандему М.</t>
        </is>
      </c>
      <c r="H1296" s="1" t="inlineStr">
        <is>
          <t>80х100/32</t>
        </is>
      </c>
      <c r="I1296" s="1" t="n">
        <v>304</v>
      </c>
      <c r="J1296" s="1" t="inlineStr">
        <is>
          <t>Дом историй</t>
        </is>
      </c>
      <c r="K1296" s="1" t="inlineStr">
        <is>
          <t>Эвербук</t>
        </is>
      </c>
      <c r="M1296" s="1" t="inlineStr">
        <is>
          <t>2026</t>
        </is>
      </c>
      <c r="N1296" s="1" t="inlineStr">
        <is>
          <t>О</t>
        </is>
      </c>
      <c r="O1296" s="9" t="n">
        <v>10</v>
      </c>
      <c r="P1296" s="1">
        <f>ROUNDUP(590*(1-$F$3),2)</f>
        <v/>
      </c>
      <c r="Q1296" s="1" t="inlineStr">
        <is>
          <t> </t>
        </is>
      </c>
      <c r="R1296" s="1" t="inlineStr">
        <is>
          <t>978-5-0058-1072-4</t>
        </is>
      </c>
      <c r="S1296" s="1" t="inlineStr">
        <is>
          <t>9785005810724</t>
        </is>
      </c>
      <c r="T1296" s="9" t="n">
        <v>22</v>
      </c>
      <c r="U1296" s="1">
        <f>ROUNDUP(483.61*(1-$F$3),2)</f>
        <v/>
      </c>
      <c r="V1296" s="1" t="n">
        <v>201</v>
      </c>
      <c r="Y1296" s="1" t="inlineStr">
        <is>
          <t>Сад смерти. Т. 17</t>
        </is>
      </c>
      <c r="Z1296" s="1" t="inlineStr">
        <is>
          <t>18+</t>
        </is>
      </c>
      <c r="AA1296" s="12" t="n">
        <v>46097</v>
      </c>
      <c r="AB1296" s="1" t="inlineStr">
        <is>
          <t>Художественная литература</t>
        </is>
      </c>
      <c r="AC1296" s="1" t="inlineStr">
        <is>
          <t>Фантастика. Мистика. Ужасы</t>
        </is>
      </c>
      <c r="AD1296" s="1" t="inlineStr">
        <is>
          <t>Фэнтези</t>
        </is>
      </c>
      <c r="AE1296" s="1" t="inlineStr">
        <is>
          <t>офсетная</t>
        </is>
      </c>
      <c r="AG1296" s="1" t="n">
        <v>12041910</v>
      </c>
      <c r="AI1296" s="1" t="inlineStr">
        <is>
          <t>4901990000</t>
        </is>
      </c>
      <c r="AJ1296" s="1" t="inlineStr">
        <is>
          <t>Зпв</t>
        </is>
      </c>
    </row>
    <row r="1297" customFormat="1" s="1">
      <c r="C1297" s="1" t="inlineStr">
        <is>
          <t xml:space="preserve">11837310            </t>
        </is>
      </c>
      <c r="D1297" s="1" t="inlineStr">
        <is>
          <t>Сага о Людях Льда</t>
        </is>
      </c>
      <c r="E1297" s="1" t="inlineStr">
        <is>
          <t>Следы Дьявола. Последний рыцарь. Восточный ветер. Т. 13-15 (в одном томе). Сандему М.</t>
        </is>
      </c>
      <c r="F1297" s="13" t="inlineStr">
        <is>
          <t>См.обл.</t>
        </is>
      </c>
      <c r="G1297" s="1" t="inlineStr">
        <is>
          <t>Сандему М.</t>
        </is>
      </c>
      <c r="H1297" s="1" t="inlineStr">
        <is>
          <t>80х100/32</t>
        </is>
      </c>
      <c r="I1297" s="1" t="n">
        <v>608</v>
      </c>
      <c r="J1297" s="1" t="inlineStr">
        <is>
          <t>Дом историй</t>
        </is>
      </c>
      <c r="K1297" s="1" t="inlineStr">
        <is>
          <t>Эвербук</t>
        </is>
      </c>
      <c r="M1297" s="1" t="inlineStr">
        <is>
          <t>2025</t>
        </is>
      </c>
      <c r="N1297" s="1" t="inlineStr">
        <is>
          <t>О</t>
        </is>
      </c>
      <c r="O1297" s="9" t="n">
        <v>8</v>
      </c>
      <c r="P1297" s="1">
        <f>ROUNDUP(930*(1-$F$3),2)</f>
        <v/>
      </c>
      <c r="Q1297" s="1" t="inlineStr">
        <is>
          <t> </t>
        </is>
      </c>
      <c r="R1297" s="1" t="inlineStr">
        <is>
          <t>978-5-0058-0784-7</t>
        </is>
      </c>
      <c r="S1297" s="1" t="inlineStr">
        <is>
          <t>9785005807847</t>
        </is>
      </c>
      <c r="T1297" s="9" t="n">
        <v>22</v>
      </c>
      <c r="U1297" s="1">
        <f>ROUNDUP(762.3*(1-$F$3),2)</f>
        <v/>
      </c>
      <c r="V1297" s="1" t="n">
        <v>411</v>
      </c>
      <c r="Y1297" s="1" t="inlineStr">
        <is>
          <t>Следы Дьявола. Последний рыцарь. Восточный ветер. Т. 13-15 (в одном томе)</t>
        </is>
      </c>
      <c r="Z1297" s="1" t="inlineStr">
        <is>
          <t>18+</t>
        </is>
      </c>
      <c r="AA1297" s="12" t="n">
        <v>45904</v>
      </c>
      <c r="AB1297" s="1" t="inlineStr">
        <is>
          <t>Художественная литература</t>
        </is>
      </c>
      <c r="AC1297" s="1" t="inlineStr">
        <is>
          <t>Фантастика. Мистика. Ужасы</t>
        </is>
      </c>
      <c r="AD1297" s="1" t="inlineStr">
        <is>
          <t>Фэнтези</t>
        </is>
      </c>
      <c r="AE1297" s="1" t="inlineStr">
        <is>
          <t>офсетная</t>
        </is>
      </c>
      <c r="AG1297" s="1" t="n">
        <v>11837310</v>
      </c>
      <c r="AI1297" s="1" t="inlineStr">
        <is>
          <t>4901990000</t>
        </is>
      </c>
      <c r="AJ1297" s="1" t="inlineStr">
        <is>
          <t>Зпв</t>
        </is>
      </c>
    </row>
    <row r="1298" customFormat="1" s="1">
      <c r="C1298" s="1" t="inlineStr">
        <is>
          <t xml:space="preserve">11541170            </t>
        </is>
      </c>
      <c r="D1298" s="1" t="inlineStr">
        <is>
          <t>Сага о Людях Льда</t>
        </is>
      </c>
      <c r="E1298" s="1" t="inlineStr">
        <is>
          <t>Смертный грех. Т. 5. Сандему М.</t>
        </is>
      </c>
      <c r="F1298" s="13" t="inlineStr">
        <is>
          <t>См.обл.</t>
        </is>
      </c>
      <c r="G1298" s="1" t="inlineStr">
        <is>
          <t>Сандему М.</t>
        </is>
      </c>
      <c r="H1298" s="1" t="inlineStr">
        <is>
          <t>80х100/32</t>
        </is>
      </c>
      <c r="I1298" s="1" t="n">
        <v>352</v>
      </c>
      <c r="J1298" s="1" t="inlineStr">
        <is>
          <t>Дом историй</t>
        </is>
      </c>
      <c r="K1298" s="1" t="inlineStr">
        <is>
          <t>Эвербук</t>
        </is>
      </c>
      <c r="M1298" s="1" t="inlineStr">
        <is>
          <t>2024</t>
        </is>
      </c>
      <c r="N1298" s="1" t="inlineStr">
        <is>
          <t>О</t>
        </is>
      </c>
      <c r="O1298" s="9" t="n">
        <v>10</v>
      </c>
      <c r="P1298" s="1">
        <f>ROUNDUP(590*(1-$F$3),2)</f>
        <v/>
      </c>
      <c r="Q1298" s="1" t="inlineStr">
        <is>
          <t> </t>
        </is>
      </c>
      <c r="R1298" s="1" t="inlineStr">
        <is>
          <t>978-5-0058-0235-4</t>
        </is>
      </c>
      <c r="S1298" s="1" t="inlineStr">
        <is>
          <t>9785005802354</t>
        </is>
      </c>
      <c r="T1298" s="9" t="n">
        <v>22</v>
      </c>
      <c r="U1298" s="1">
        <f>ROUNDUP(483.61*(1-$F$3),2)</f>
        <v/>
      </c>
      <c r="V1298" s="1" t="n">
        <v>228</v>
      </c>
      <c r="Y1298" s="1" t="inlineStr">
        <is>
          <t>Смертный грех. Т. 5</t>
        </is>
      </c>
      <c r="Z1298" s="1" t="inlineStr">
        <is>
          <t>18+</t>
        </is>
      </c>
      <c r="AA1298" s="12" t="n">
        <v>45603</v>
      </c>
      <c r="AB1298" s="1" t="inlineStr">
        <is>
          <t>Художественная литература</t>
        </is>
      </c>
      <c r="AC1298" s="1" t="inlineStr">
        <is>
          <t>Фантастика. Мистика. Ужасы</t>
        </is>
      </c>
      <c r="AD1298" s="1" t="inlineStr">
        <is>
          <t>Фэнтези</t>
        </is>
      </c>
      <c r="AE1298" s="1" t="inlineStr">
        <is>
          <t>офсетная</t>
        </is>
      </c>
      <c r="AG1298" s="1" t="n">
        <v>11541170</v>
      </c>
      <c r="AI1298" s="1" t="inlineStr">
        <is>
          <t>4901990000</t>
        </is>
      </c>
    </row>
    <row r="1299" customFormat="1" s="11">
      <c r="A1299" s="11" t="inlineStr">
        <is>
          <t>нов</t>
        </is>
      </c>
      <c r="C1299" s="11" t="inlineStr">
        <is>
          <t xml:space="preserve">12257570            </t>
        </is>
      </c>
      <c r="D1299" s="11" t="inlineStr">
        <is>
          <t>Сага о Людях Льда</t>
        </is>
      </c>
      <c r="E1299" s="11" t="inlineStr">
        <is>
          <t>Фея и монстр. Т. 22. Сандему М.</t>
        </is>
      </c>
      <c r="F1299" s="14" t="inlineStr">
        <is>
          <t>См.обл.</t>
        </is>
      </c>
      <c r="G1299" s="11" t="inlineStr">
        <is>
          <t>Сандему М.</t>
        </is>
      </c>
      <c r="H1299" s="11" t="inlineStr">
        <is>
          <t>80х100/32</t>
        </is>
      </c>
      <c r="I1299" s="11" t="n">
        <v>288</v>
      </c>
      <c r="J1299" s="11" t="inlineStr">
        <is>
          <t>Дом историй</t>
        </is>
      </c>
      <c r="K1299" s="11" t="inlineStr">
        <is>
          <t>Эвербук</t>
        </is>
      </c>
      <c r="M1299" s="11" t="inlineStr">
        <is>
          <t>2026</t>
        </is>
      </c>
      <c r="N1299" s="11" t="inlineStr">
        <is>
          <t>О</t>
        </is>
      </c>
      <c r="O1299" s="26" t="n">
        <v>14</v>
      </c>
      <c r="P1299" s="11">
        <f>ROUNDUP(590*(1-$F$3),2)</f>
        <v/>
      </c>
      <c r="Q1299" s="11" t="inlineStr">
        <is>
          <t> </t>
        </is>
      </c>
      <c r="R1299" s="11" t="inlineStr">
        <is>
          <t>978-5-0058-1130-1</t>
        </is>
      </c>
      <c r="S1299" s="11" t="inlineStr">
        <is>
          <t>9785005811301</t>
        </is>
      </c>
      <c r="T1299" s="26" t="n">
        <v>22</v>
      </c>
      <c r="U1299" s="11">
        <f>ROUNDUP(483.61*(1-$F$3),2)</f>
        <v/>
      </c>
      <c r="V1299" s="11" t="n">
        <v>195</v>
      </c>
      <c r="Y1299" s="11" t="inlineStr">
        <is>
          <t>Фея и монстр. Т. 22</t>
        </is>
      </c>
      <c r="Z1299" s="11" t="inlineStr">
        <is>
          <t>18+</t>
        </is>
      </c>
      <c r="AA1299" s="15" t="n">
        <v>46268</v>
      </c>
      <c r="AB1299" s="11" t="inlineStr">
        <is>
          <t>Художественная литература</t>
        </is>
      </c>
      <c r="AC1299" s="11" t="inlineStr">
        <is>
          <t>Фантастика. Мистика. Ужасы</t>
        </is>
      </c>
      <c r="AD1299" s="11" t="inlineStr">
        <is>
          <t>Фэнтези</t>
        </is>
      </c>
      <c r="AE1299" s="11" t="inlineStr">
        <is>
          <t>офсетная</t>
        </is>
      </c>
      <c r="AG1299" s="11" t="n">
        <v>12257570</v>
      </c>
      <c r="AI1299" s="11" t="inlineStr">
        <is>
          <t>4901990000</t>
        </is>
      </c>
    </row>
    <row r="1300" customFormat="1" s="1">
      <c r="C1300" s="1" t="inlineStr">
        <is>
          <t xml:space="preserve">11541400            </t>
        </is>
      </c>
      <c r="D1300" s="1" t="inlineStr">
        <is>
          <t>Сага о Людях Льда</t>
        </is>
      </c>
      <c r="E1300" s="1" t="inlineStr">
        <is>
          <t>Черное одиночество. Т. 9. Сандему М.</t>
        </is>
      </c>
      <c r="F1300" s="13" t="inlineStr">
        <is>
          <t>См.обл.</t>
        </is>
      </c>
      <c r="G1300" s="1" t="inlineStr">
        <is>
          <t>Сандему М.</t>
        </is>
      </c>
      <c r="H1300" s="1" t="inlineStr">
        <is>
          <t>80х100/32</t>
        </is>
      </c>
      <c r="I1300" s="1" t="n">
        <v>320</v>
      </c>
      <c r="J1300" s="1" t="inlineStr">
        <is>
          <t>Дом историй</t>
        </is>
      </c>
      <c r="K1300" s="1" t="inlineStr">
        <is>
          <t>Эвербук</t>
        </is>
      </c>
      <c r="M1300" s="1" t="inlineStr">
        <is>
          <t>2026</t>
        </is>
      </c>
      <c r="N1300" s="1" t="inlineStr">
        <is>
          <t>О</t>
        </is>
      </c>
      <c r="O1300" s="9" t="n">
        <v>20</v>
      </c>
      <c r="P1300" s="1">
        <f>ROUNDUP(590*(1-$F$3),2)</f>
        <v/>
      </c>
      <c r="Q1300" s="1" t="inlineStr">
        <is>
          <t> </t>
        </is>
      </c>
      <c r="R1300" s="1" t="inlineStr">
        <is>
          <t>978-5-0058-0345-0</t>
        </is>
      </c>
      <c r="S1300" s="1" t="inlineStr">
        <is>
          <t>9785005803450</t>
        </is>
      </c>
      <c r="T1300" s="9" t="n">
        <v>10</v>
      </c>
      <c r="U1300" s="1">
        <f>ROUNDUP(536.36*(1-$F$3),2)</f>
        <v/>
      </c>
      <c r="V1300" s="1" t="n">
        <v>199</v>
      </c>
      <c r="Y1300" s="1" t="inlineStr">
        <is>
          <t>Черное одиночество. Т. 9</t>
        </is>
      </c>
      <c r="Z1300" s="1" t="inlineStr">
        <is>
          <t>16+</t>
        </is>
      </c>
      <c r="AA1300" s="12" t="n">
        <v>45603</v>
      </c>
      <c r="AB1300" s="1" t="inlineStr">
        <is>
          <t>Художественная литература</t>
        </is>
      </c>
      <c r="AC1300" s="1" t="inlineStr">
        <is>
          <t>Фантастика. Мистика. Ужасы</t>
        </is>
      </c>
      <c r="AD1300" s="1" t="inlineStr">
        <is>
          <t>Фэнтези</t>
        </is>
      </c>
      <c r="AE1300" s="1" t="inlineStr">
        <is>
          <t>офсетная</t>
        </is>
      </c>
      <c r="AG1300" s="1" t="n">
        <v>11541400</v>
      </c>
      <c r="AI1300" s="1" t="inlineStr">
        <is>
          <t>4901990000</t>
        </is>
      </c>
    </row>
    <row r="1301" customFormat="1" s="1">
      <c r="C1301" s="1" t="inlineStr">
        <is>
          <t xml:space="preserve">11558680            </t>
        </is>
      </c>
      <c r="D1301" s="1" t="inlineStr">
        <is>
          <t>Своя комната: судьбы женщин</t>
        </is>
      </c>
      <c r="E1301" s="1" t="inlineStr">
        <is>
          <t>Женщина голод: роман. Кода К.</t>
        </is>
      </c>
      <c r="F1301" s="13" t="inlineStr">
        <is>
          <t>См.обл.</t>
        </is>
      </c>
      <c r="G1301" s="1" t="inlineStr">
        <is>
          <t>Кода К.</t>
        </is>
      </c>
      <c r="H1301" s="1" t="inlineStr">
        <is>
          <t>84х108/32</t>
        </is>
      </c>
      <c r="I1301" s="1" t="n">
        <v>352</v>
      </c>
      <c r="J1301" s="1" t="inlineStr">
        <is>
          <t>Дом историй</t>
        </is>
      </c>
      <c r="K1301" s="1" t="inlineStr">
        <is>
          <t>Эвербук</t>
        </is>
      </c>
      <c r="M1301" s="1" t="inlineStr">
        <is>
          <t>2024</t>
        </is>
      </c>
      <c r="N1301" s="1" t="inlineStr">
        <is>
          <t>П</t>
        </is>
      </c>
      <c r="O1301" s="9" t="n">
        <v>6</v>
      </c>
      <c r="P1301" s="1">
        <f>ROUNDUP(1050*(1-$F$3),2)</f>
        <v/>
      </c>
      <c r="Q1301" s="1" t="inlineStr">
        <is>
          <t> </t>
        </is>
      </c>
      <c r="R1301" s="1" t="inlineStr">
        <is>
          <t>978-5-0058-0480-8</t>
        </is>
      </c>
      <c r="S1301" s="1" t="inlineStr">
        <is>
          <t>9785005804808</t>
        </is>
      </c>
      <c r="T1301" s="9" t="n">
        <v>10</v>
      </c>
      <c r="U1301" s="1">
        <f>ROUNDUP(954.55*(1-$F$3),2)</f>
        <v/>
      </c>
      <c r="V1301" s="1" t="n">
        <v>341</v>
      </c>
      <c r="Y1301" s="1" t="inlineStr">
        <is>
          <t>Женщина голод: роман</t>
        </is>
      </c>
      <c r="Z1301" s="1" t="inlineStr">
        <is>
          <t>16+</t>
        </is>
      </c>
      <c r="AA1301" s="12" t="n">
        <v>45607</v>
      </c>
      <c r="AB1301" s="1" t="inlineStr">
        <is>
          <t>Художественная литература</t>
        </is>
      </c>
      <c r="AC1301" s="1" t="inlineStr">
        <is>
          <t>Фантастика. Мистика. Ужасы</t>
        </is>
      </c>
      <c r="AD1301" s="1" t="inlineStr">
        <is>
          <t>Фэнтези</t>
        </is>
      </c>
      <c r="AE1301" s="1" t="inlineStr">
        <is>
          <t>офсетная</t>
        </is>
      </c>
      <c r="AG1301" s="1" t="n">
        <v>11558680</v>
      </c>
      <c r="AI1301" s="1" t="inlineStr">
        <is>
          <t>4901990000</t>
        </is>
      </c>
    </row>
    <row r="1302" customFormat="1" s="1">
      <c r="C1302" s="1" t="inlineStr">
        <is>
          <t xml:space="preserve">11667500            </t>
        </is>
      </c>
      <c r="D1302" s="1" t="inlineStr">
        <is>
          <t>Своя комната: судьбы женщин</t>
        </is>
      </c>
      <c r="E1302" s="1" t="inlineStr">
        <is>
          <t>Исповедь скучной тетки. Лавуа М.-Р.</t>
        </is>
      </c>
      <c r="F1302" s="13" t="inlineStr">
        <is>
          <t>См.обл.</t>
        </is>
      </c>
      <c r="G1302" s="1" t="inlineStr">
        <is>
          <t>Лавуа М.-Р.</t>
        </is>
      </c>
      <c r="H1302" s="1" t="inlineStr">
        <is>
          <t>84х100/32</t>
        </is>
      </c>
      <c r="I1302" s="1" t="n">
        <v>288</v>
      </c>
      <c r="J1302" s="1" t="inlineStr">
        <is>
          <t>Дом историй</t>
        </is>
      </c>
      <c r="K1302" s="1" t="inlineStr">
        <is>
          <t>Эвербук</t>
        </is>
      </c>
      <c r="M1302" s="1" t="inlineStr">
        <is>
          <t>2026</t>
        </is>
      </c>
      <c r="N1302" s="1" t="inlineStr">
        <is>
          <t>П</t>
        </is>
      </c>
      <c r="O1302" s="9" t="n">
        <v>12</v>
      </c>
      <c r="P1302" s="1">
        <f>ROUNDUP(930*(1-$F$3),2)</f>
        <v/>
      </c>
      <c r="Q1302" s="1" t="inlineStr">
        <is>
          <t> </t>
        </is>
      </c>
      <c r="R1302" s="1" t="inlineStr">
        <is>
          <t>978-5-0058-0639-0</t>
        </is>
      </c>
      <c r="S1302" s="1" t="inlineStr">
        <is>
          <t>9785005806390</t>
        </is>
      </c>
      <c r="T1302" s="9" t="n">
        <v>22</v>
      </c>
      <c r="U1302" s="1">
        <f>ROUNDUP(762.3*(1-$F$3),2)</f>
        <v/>
      </c>
      <c r="V1302" s="1" t="n">
        <v>284</v>
      </c>
      <c r="Y1302" s="1" t="inlineStr">
        <is>
          <t>Исповедь скучной тетки</t>
        </is>
      </c>
      <c r="Z1302" s="1" t="inlineStr">
        <is>
          <t>18+</t>
        </is>
      </c>
      <c r="AA1302" s="12" t="n">
        <v>45726</v>
      </c>
      <c r="AB1302" s="1" t="inlineStr">
        <is>
          <t>Художественная литература</t>
        </is>
      </c>
      <c r="AC1302" s="1" t="inlineStr">
        <is>
          <t>Зарубежная литература</t>
        </is>
      </c>
      <c r="AD1302" s="1" t="inlineStr">
        <is>
          <t>Европейская литература</t>
        </is>
      </c>
      <c r="AE1302" s="1" t="inlineStr">
        <is>
          <t>офсетная</t>
        </is>
      </c>
      <c r="AG1302" s="1" t="n">
        <v>11667500</v>
      </c>
      <c r="AI1302" s="1" t="inlineStr">
        <is>
          <t>4901990000</t>
        </is>
      </c>
    </row>
    <row r="1303" customFormat="1" s="1">
      <c r="C1303" s="1" t="inlineStr">
        <is>
          <t xml:space="preserve">11833930            </t>
        </is>
      </c>
      <c r="D1303" s="1" t="inlineStr">
        <is>
          <t>Своя комната: судьбы женщин</t>
        </is>
      </c>
      <c r="E1303" s="1" t="inlineStr">
        <is>
          <t>Когда-нибудь, возможно. Нвабинели О.</t>
        </is>
      </c>
      <c r="F1303" s="13" t="inlineStr">
        <is>
          <t>См.обл.</t>
        </is>
      </c>
      <c r="G1303" s="1" t="inlineStr">
        <is>
          <t>Нвабинели О.</t>
        </is>
      </c>
      <c r="H1303" s="1" t="inlineStr">
        <is>
          <t>84х108/32</t>
        </is>
      </c>
      <c r="I1303" s="1" t="n">
        <v>480</v>
      </c>
      <c r="J1303" s="1" t="inlineStr">
        <is>
          <t>Дом историй</t>
        </is>
      </c>
      <c r="K1303" s="1" t="inlineStr">
        <is>
          <t>Эвербук</t>
        </is>
      </c>
      <c r="M1303" s="1" t="inlineStr">
        <is>
          <t>2025</t>
        </is>
      </c>
      <c r="N1303" s="1" t="inlineStr">
        <is>
          <t>П</t>
        </is>
      </c>
      <c r="O1303" s="9" t="n">
        <v>5</v>
      </c>
      <c r="P1303" s="1">
        <f>ROUNDUP(1160*(1-$F$3),2)</f>
        <v/>
      </c>
      <c r="Q1303" s="1" t="inlineStr">
        <is>
          <t> </t>
        </is>
      </c>
      <c r="R1303" s="1" t="inlineStr">
        <is>
          <t>978-5-0058-0837-0</t>
        </is>
      </c>
      <c r="S1303" s="1" t="inlineStr">
        <is>
          <t>9785005808370</t>
        </is>
      </c>
      <c r="T1303" s="9" t="n">
        <v>22</v>
      </c>
      <c r="U1303" s="1">
        <f>ROUNDUP(950.82*(1-$F$3),2)</f>
        <v/>
      </c>
      <c r="V1303" s="1" t="n">
        <v>498</v>
      </c>
      <c r="Y1303" s="1" t="inlineStr">
        <is>
          <t>Когда-нибудь, возможно</t>
        </is>
      </c>
      <c r="Z1303" s="1" t="inlineStr">
        <is>
          <t>18+</t>
        </is>
      </c>
      <c r="AA1303" s="12" t="n">
        <v>45929</v>
      </c>
      <c r="AB1303" s="1" t="inlineStr">
        <is>
          <t>Художественная литература</t>
        </is>
      </c>
      <c r="AC1303" s="1" t="inlineStr">
        <is>
          <t>Сентиментальная проза</t>
        </is>
      </c>
      <c r="AD1303" s="1" t="inlineStr">
        <is>
          <t>Зарубежный сентиментальный роман</t>
        </is>
      </c>
      <c r="AE1303" s="1" t="inlineStr">
        <is>
          <t>офсетная</t>
        </is>
      </c>
      <c r="AG1303" s="1" t="n">
        <v>11833930</v>
      </c>
      <c r="AI1303" s="1" t="inlineStr">
        <is>
          <t>4901990000</t>
        </is>
      </c>
      <c r="AJ1303" s="1" t="inlineStr">
        <is>
          <t>Зпв</t>
        </is>
      </c>
    </row>
    <row r="1304" customFormat="1" s="1">
      <c r="C1304" s="1" t="inlineStr">
        <is>
          <t xml:space="preserve">11541370            </t>
        </is>
      </c>
      <c r="D1304" s="1" t="inlineStr">
        <is>
          <t>Своя комната: судьбы женщин</t>
        </is>
      </c>
      <c r="E1304" s="1" t="inlineStr">
        <is>
          <t>Коза торопится в лес. Гильдина Э.</t>
        </is>
      </c>
      <c r="F1304" s="13" t="inlineStr">
        <is>
          <t>См.обл.</t>
        </is>
      </c>
      <c r="G1304" s="1" t="inlineStr">
        <is>
          <t>Гильдина Э.</t>
        </is>
      </c>
      <c r="H1304" s="1" t="inlineStr">
        <is>
          <t>84х108/32</t>
        </is>
      </c>
      <c r="I1304" s="1" t="n">
        <v>320</v>
      </c>
      <c r="J1304" s="1" t="inlineStr">
        <is>
          <t>Дом историй</t>
        </is>
      </c>
      <c r="K1304" s="1" t="inlineStr">
        <is>
          <t>Эвербук</t>
        </is>
      </c>
      <c r="M1304" s="1" t="inlineStr">
        <is>
          <t>2024</t>
        </is>
      </c>
      <c r="N1304" s="1" t="inlineStr">
        <is>
          <t>П</t>
        </is>
      </c>
      <c r="O1304" s="9" t="n">
        <v>16</v>
      </c>
      <c r="P1304" s="1">
        <f>ROUNDUP(920*(1-$F$3),2)</f>
        <v/>
      </c>
      <c r="Q1304" s="1" t="inlineStr">
        <is>
          <t> </t>
        </is>
      </c>
      <c r="R1304" s="1" t="inlineStr">
        <is>
          <t>978-5-0058-0471-6</t>
        </is>
      </c>
      <c r="S1304" s="1" t="inlineStr">
        <is>
          <t>9785005804716</t>
        </is>
      </c>
      <c r="T1304" s="9" t="n">
        <v>10</v>
      </c>
      <c r="U1304" s="1">
        <f>ROUNDUP(836.36*(1-$F$3),2)</f>
        <v/>
      </c>
      <c r="V1304" s="1" t="n">
        <v>351</v>
      </c>
      <c r="Y1304" s="1" t="inlineStr">
        <is>
          <t>Коза торопится в лес</t>
        </is>
      </c>
      <c r="Z1304" s="1" t="inlineStr">
        <is>
          <t>16+</t>
        </is>
      </c>
      <c r="AA1304" s="12" t="n">
        <v>45603</v>
      </c>
      <c r="AB1304" s="1" t="inlineStr">
        <is>
          <t>Художественная литература</t>
        </is>
      </c>
      <c r="AC1304" s="1" t="inlineStr">
        <is>
          <t>Русская литература</t>
        </is>
      </c>
      <c r="AD1304" s="1" t="inlineStr">
        <is>
          <t>Современная литература</t>
        </is>
      </c>
      <c r="AE1304" s="1" t="inlineStr">
        <is>
          <t>офсетная</t>
        </is>
      </c>
      <c r="AG1304" s="1" t="n">
        <v>11541370</v>
      </c>
      <c r="AI1304" s="1" t="inlineStr">
        <is>
          <t>4901990000</t>
        </is>
      </c>
    </row>
    <row r="1305" customFormat="1" s="1">
      <c r="C1305" s="1" t="inlineStr">
        <is>
          <t xml:space="preserve">11541150            </t>
        </is>
      </c>
      <c r="D1305" s="1" t="inlineStr">
        <is>
          <t>Своя комната: судьбы женщин</t>
        </is>
      </c>
      <c r="E1305" s="1" t="inlineStr">
        <is>
          <t>Красные часы. Зумас Л.</t>
        </is>
      </c>
      <c r="F1305" s="13" t="inlineStr">
        <is>
          <t>См.обл.</t>
        </is>
      </c>
      <c r="G1305" s="1" t="inlineStr">
        <is>
          <t>Зумас Л.</t>
        </is>
      </c>
      <c r="H1305" s="1" t="inlineStr">
        <is>
          <t>84х108/32</t>
        </is>
      </c>
      <c r="I1305" s="1" t="n">
        <v>464</v>
      </c>
      <c r="J1305" s="1" t="inlineStr">
        <is>
          <t>Дом историй</t>
        </is>
      </c>
      <c r="K1305" s="1" t="inlineStr">
        <is>
          <t>Эвербук</t>
        </is>
      </c>
      <c r="M1305" s="1" t="inlineStr">
        <is>
          <t>2024</t>
        </is>
      </c>
      <c r="N1305" s="1" t="inlineStr">
        <is>
          <t>П</t>
        </is>
      </c>
      <c r="O1305" s="9" t="n">
        <v>12</v>
      </c>
      <c r="P1305" s="1">
        <f>ROUNDUP(1120*(1-$F$3),2)</f>
        <v/>
      </c>
      <c r="Q1305" s="1" t="inlineStr">
        <is>
          <t> </t>
        </is>
      </c>
      <c r="R1305" s="1" t="inlineStr">
        <is>
          <t>978-5-0058-0397-9</t>
        </is>
      </c>
      <c r="S1305" s="1" t="inlineStr">
        <is>
          <t>9785005803979</t>
        </is>
      </c>
      <c r="T1305" s="9" t="n">
        <v>22</v>
      </c>
      <c r="U1305" s="1">
        <f>ROUNDUP(918.03*(1-$F$3),2)</f>
        <v/>
      </c>
      <c r="V1305" s="1" t="n">
        <v>475</v>
      </c>
      <c r="Y1305" s="1" t="inlineStr">
        <is>
          <t>Красные часы</t>
        </is>
      </c>
      <c r="Z1305" s="1" t="inlineStr">
        <is>
          <t>18+</t>
        </is>
      </c>
      <c r="AA1305" s="12" t="n">
        <v>45603</v>
      </c>
      <c r="AB1305" s="1" t="inlineStr">
        <is>
          <t>Художественная литература</t>
        </is>
      </c>
      <c r="AC1305" s="1" t="inlineStr">
        <is>
          <t>Зарубежная литература</t>
        </is>
      </c>
      <c r="AD1305" s="1" t="inlineStr">
        <is>
          <t>Литература Америки и Австралии</t>
        </is>
      </c>
      <c r="AE1305" s="1" t="inlineStr">
        <is>
          <t>офсетная</t>
        </is>
      </c>
      <c r="AG1305" s="1" t="n">
        <v>11541150</v>
      </c>
      <c r="AI1305" s="1" t="inlineStr">
        <is>
          <t>4901990000</t>
        </is>
      </c>
      <c r="AJ1305" s="1" t="inlineStr">
        <is>
          <t>Зпв</t>
        </is>
      </c>
    </row>
    <row r="1306" customFormat="1" s="1">
      <c r="C1306" s="1" t="inlineStr">
        <is>
          <t xml:space="preserve">11746770            </t>
        </is>
      </c>
      <c r="D1306" s="1" t="inlineStr">
        <is>
          <t>Своя комната: судьбы женщин</t>
        </is>
      </c>
      <c r="E1306" s="1" t="inlineStr">
        <is>
          <t>Последняя любовь бабы Дуни. Бронски А.</t>
        </is>
      </c>
      <c r="F1306" s="13" t="inlineStr">
        <is>
          <t>См.обл.</t>
        </is>
      </c>
      <c r="G1306" s="1" t="inlineStr">
        <is>
          <t>Бронски А.</t>
        </is>
      </c>
      <c r="H1306" s="1" t="inlineStr">
        <is>
          <t>84х90/32</t>
        </is>
      </c>
      <c r="I1306" s="1" t="n">
        <v>224</v>
      </c>
      <c r="J1306" s="1" t="inlineStr">
        <is>
          <t>Дом историй</t>
        </is>
      </c>
      <c r="K1306" s="1" t="inlineStr">
        <is>
          <t>Эвербук</t>
        </is>
      </c>
      <c r="M1306" s="1" t="inlineStr">
        <is>
          <t>2025</t>
        </is>
      </c>
      <c r="N1306" s="1" t="inlineStr">
        <is>
          <t>П</t>
        </is>
      </c>
      <c r="O1306" s="9" t="n">
        <v>12</v>
      </c>
      <c r="P1306" s="1">
        <f>ROUNDUP(870*(1-$F$3),2)</f>
        <v/>
      </c>
      <c r="Q1306" s="1" t="inlineStr">
        <is>
          <t> </t>
        </is>
      </c>
      <c r="R1306" s="1" t="inlineStr">
        <is>
          <t>978-5-0058-0790-8</t>
        </is>
      </c>
      <c r="S1306" s="1" t="inlineStr">
        <is>
          <t>9785005807908</t>
        </is>
      </c>
      <c r="T1306" s="9" t="n">
        <v>10</v>
      </c>
      <c r="U1306" s="1">
        <f>ROUNDUP(790.91*(1-$F$3),2)</f>
        <v/>
      </c>
      <c r="V1306" s="1" t="n">
        <v>275</v>
      </c>
      <c r="Y1306" s="1" t="inlineStr">
        <is>
          <t>Последняя любовь бабы Дуни</t>
        </is>
      </c>
      <c r="Z1306" s="1" t="inlineStr">
        <is>
          <t>16+</t>
        </is>
      </c>
      <c r="AA1306" s="12" t="n">
        <v>45833</v>
      </c>
      <c r="AB1306" s="1" t="inlineStr">
        <is>
          <t>Художественная литература</t>
        </is>
      </c>
      <c r="AC1306" s="1" t="inlineStr">
        <is>
          <t>Зарубежная литература</t>
        </is>
      </c>
      <c r="AD1306" s="1" t="inlineStr">
        <is>
          <t>Европейская литература</t>
        </is>
      </c>
      <c r="AE1306" s="1" t="inlineStr">
        <is>
          <t>офсетная</t>
        </is>
      </c>
      <c r="AG1306" s="1" t="n">
        <v>11746770</v>
      </c>
      <c r="AI1306" s="1" t="inlineStr">
        <is>
          <t>4901990000</t>
        </is>
      </c>
    </row>
    <row r="1307" customFormat="1" s="1">
      <c r="C1307" s="1" t="inlineStr">
        <is>
          <t xml:space="preserve">11673030            </t>
        </is>
      </c>
      <c r="D1307" s="1" t="inlineStr">
        <is>
          <t>Своя комната: судьбы женщин</t>
        </is>
      </c>
      <c r="E1307" s="1" t="inlineStr">
        <is>
          <t>Элена знает. Пиньейро К.</t>
        </is>
      </c>
      <c r="F1307" s="13" t="inlineStr">
        <is>
          <t>См.обл.</t>
        </is>
      </c>
      <c r="G1307" s="1" t="inlineStr">
        <is>
          <t>Пиньейро К.</t>
        </is>
      </c>
      <c r="H1307" s="1" t="inlineStr">
        <is>
          <t>84х90/32</t>
        </is>
      </c>
      <c r="I1307" s="1" t="n">
        <v>224</v>
      </c>
      <c r="J1307" s="1" t="inlineStr">
        <is>
          <t>Дом историй</t>
        </is>
      </c>
      <c r="K1307" s="1" t="inlineStr">
        <is>
          <t>Эвербук</t>
        </is>
      </c>
      <c r="M1307" s="1" t="inlineStr">
        <is>
          <t>2026</t>
        </is>
      </c>
      <c r="N1307" s="1" t="inlineStr">
        <is>
          <t>П</t>
        </is>
      </c>
      <c r="O1307" s="9" t="n">
        <v>7</v>
      </c>
      <c r="P1307" s="1">
        <f>ROUNDUP(1000*(1-$F$3),2)</f>
        <v/>
      </c>
      <c r="Q1307" s="1" t="inlineStr">
        <is>
          <t> </t>
        </is>
      </c>
      <c r="R1307" s="1" t="inlineStr">
        <is>
          <t>978-5-0058-0052-7</t>
        </is>
      </c>
      <c r="S1307" s="1" t="inlineStr">
        <is>
          <t>9785005800527</t>
        </is>
      </c>
      <c r="T1307" s="9" t="n">
        <v>10</v>
      </c>
      <c r="U1307" s="1">
        <f>ROUNDUP(909.09*(1-$F$3),2)</f>
        <v/>
      </c>
      <c r="V1307" s="1" t="n">
        <v>324</v>
      </c>
      <c r="Y1307" s="1" t="inlineStr">
        <is>
          <t>Элена знает</t>
        </is>
      </c>
      <c r="Z1307" s="1" t="inlineStr">
        <is>
          <t>16+</t>
        </is>
      </c>
      <c r="AA1307" s="12" t="n">
        <v>45713</v>
      </c>
      <c r="AB1307" s="1" t="inlineStr">
        <is>
          <t>Художественная литература</t>
        </is>
      </c>
      <c r="AC1307" s="1" t="inlineStr">
        <is>
          <t>Зарубежная литература</t>
        </is>
      </c>
      <c r="AD1307" s="1" t="inlineStr">
        <is>
          <t>Литература Америки и Австралии</t>
        </is>
      </c>
      <c r="AE1307" s="1" t="inlineStr">
        <is>
          <t>офсетная</t>
        </is>
      </c>
      <c r="AG1307" s="1" t="n">
        <v>11673030</v>
      </c>
      <c r="AI1307" s="1" t="inlineStr">
        <is>
          <t>4901990000</t>
        </is>
      </c>
    </row>
    <row r="1308" customFormat="1" s="1">
      <c r="C1308" s="1" t="inlineStr">
        <is>
          <t xml:space="preserve">11680590            </t>
        </is>
      </c>
      <c r="D1308" s="1" t="inlineStr">
        <is>
          <t>Си Джей Скьюз: острые на язык убийства</t>
        </is>
      </c>
      <c r="E1308" s="1" t="inlineStr">
        <is>
          <t>Дорогуша. Скьюз С.Дж.</t>
        </is>
      </c>
      <c r="F1308" s="13" t="inlineStr">
        <is>
          <t>См.обл.</t>
        </is>
      </c>
      <c r="G1308" s="1" t="inlineStr">
        <is>
          <t>Скьюз С.Дж.</t>
        </is>
      </c>
      <c r="H1308" s="1" t="inlineStr">
        <is>
          <t>60х90/16</t>
        </is>
      </c>
      <c r="I1308" s="1" t="n">
        <v>512</v>
      </c>
      <c r="J1308" s="1" t="inlineStr">
        <is>
          <t>Дом историй</t>
        </is>
      </c>
      <c r="K1308" s="1" t="inlineStr">
        <is>
          <t>Эвербук</t>
        </is>
      </c>
      <c r="M1308" s="1" t="inlineStr">
        <is>
          <t>2025</t>
        </is>
      </c>
      <c r="N1308" s="1" t="inlineStr">
        <is>
          <t>П</t>
        </is>
      </c>
      <c r="O1308" s="9" t="n">
        <v>10</v>
      </c>
      <c r="P1308" s="1">
        <f>ROUNDUP(1160*(1-$F$3),2)</f>
        <v/>
      </c>
      <c r="Q1308" s="1" t="inlineStr">
        <is>
          <t> </t>
        </is>
      </c>
      <c r="R1308" s="1" t="inlineStr">
        <is>
          <t>978-5-0058-0645-1</t>
        </is>
      </c>
      <c r="S1308" s="1" t="inlineStr">
        <is>
          <t>9785005806451</t>
        </is>
      </c>
      <c r="T1308" s="9" t="n">
        <v>22</v>
      </c>
      <c r="U1308" s="1">
        <f>ROUNDUP(950.82*(1-$F$3),2)</f>
        <v/>
      </c>
      <c r="V1308" s="1" t="n">
        <v>619</v>
      </c>
      <c r="Y1308" s="1" t="inlineStr">
        <is>
          <t>Дорогуша</t>
        </is>
      </c>
      <c r="Z1308" s="1" t="inlineStr">
        <is>
          <t>18+</t>
        </is>
      </c>
      <c r="AA1308" s="12" t="n">
        <v>45734</v>
      </c>
      <c r="AB1308" s="1" t="inlineStr">
        <is>
          <t>Художественная литература</t>
        </is>
      </c>
      <c r="AC1308" s="1" t="inlineStr">
        <is>
          <t>Детективы. Боевики. Триллеры</t>
        </is>
      </c>
      <c r="AD1308" s="1" t="inlineStr">
        <is>
          <t>Зарубежный детектив</t>
        </is>
      </c>
      <c r="AE1308" s="1" t="inlineStr">
        <is>
          <t>офсетная</t>
        </is>
      </c>
      <c r="AG1308" s="1" t="n">
        <v>11680590</v>
      </c>
      <c r="AI1308" s="1" t="inlineStr">
        <is>
          <t>4901990000</t>
        </is>
      </c>
      <c r="AJ1308" s="1" t="inlineStr">
        <is>
          <t>Зпв</t>
        </is>
      </c>
    </row>
    <row r="1309" customFormat="1" s="1">
      <c r="C1309" s="1" t="inlineStr">
        <is>
          <t xml:space="preserve">12228260            </t>
        </is>
      </c>
      <c r="D1309" s="1" t="inlineStr">
        <is>
          <t>Си Джей Скьюз: острые на язык убийства</t>
        </is>
      </c>
      <c r="E1309" s="1" t="inlineStr">
        <is>
          <t>Дорогуша: Возвращение. Скьюз С.Дж.</t>
        </is>
      </c>
      <c r="F1309" s="13" t="inlineStr">
        <is>
          <t>См.обл.</t>
        </is>
      </c>
      <c r="G1309" s="1" t="inlineStr">
        <is>
          <t>Скьюз С.Дж.</t>
        </is>
      </c>
      <c r="H1309" s="1" t="inlineStr">
        <is>
          <t>60х90/16</t>
        </is>
      </c>
      <c r="I1309" s="1" t="n">
        <v>512</v>
      </c>
      <c r="J1309" s="1" t="inlineStr">
        <is>
          <t>Дом историй</t>
        </is>
      </c>
      <c r="K1309" s="1" t="inlineStr">
        <is>
          <t>Эвербук</t>
        </is>
      </c>
      <c r="M1309" s="1" t="inlineStr">
        <is>
          <t>2026</t>
        </is>
      </c>
      <c r="N1309" s="1" t="inlineStr">
        <is>
          <t>П</t>
        </is>
      </c>
      <c r="O1309" s="9" t="n">
        <v>8</v>
      </c>
      <c r="P1309" s="1">
        <f>ROUNDUP(1350*(1-$F$3),2)</f>
        <v/>
      </c>
      <c r="Q1309" s="1" t="inlineStr">
        <is>
          <t> </t>
        </is>
      </c>
      <c r="R1309" s="1" t="inlineStr">
        <is>
          <t>978-5-0058-1047-2</t>
        </is>
      </c>
      <c r="S1309" s="1" t="inlineStr">
        <is>
          <t>9785005810472</t>
        </is>
      </c>
      <c r="T1309" s="9" t="n">
        <v>22</v>
      </c>
      <c r="U1309" s="1">
        <f>ROUNDUP(1106.56*(1-$F$3),2)</f>
        <v/>
      </c>
      <c r="V1309" s="1" t="n">
        <v>619</v>
      </c>
      <c r="Y1309" s="1" t="inlineStr">
        <is>
          <t>Дорогуша: Возвращение</t>
        </is>
      </c>
      <c r="Z1309" s="1" t="inlineStr">
        <is>
          <t>18+</t>
        </is>
      </c>
      <c r="AA1309" s="12" t="n">
        <v>46239</v>
      </c>
      <c r="AB1309" s="1" t="inlineStr">
        <is>
          <t>Художественная литература</t>
        </is>
      </c>
      <c r="AC1309" s="1" t="inlineStr">
        <is>
          <t>Детективы. Боевики. Триллеры</t>
        </is>
      </c>
      <c r="AD1309" s="1" t="inlineStr">
        <is>
          <t>Зарубежный детектив</t>
        </is>
      </c>
      <c r="AE1309" s="1" t="inlineStr">
        <is>
          <t>офсетная</t>
        </is>
      </c>
      <c r="AG1309" s="1" t="n">
        <v>12228260</v>
      </c>
      <c r="AI1309" s="1" t="inlineStr">
        <is>
          <t>4901990000</t>
        </is>
      </c>
      <c r="AJ1309" s="1" t="inlineStr">
        <is>
          <t>Зпв</t>
        </is>
      </c>
    </row>
    <row r="1310" customFormat="1" s="1">
      <c r="C1310" s="1" t="inlineStr">
        <is>
          <t xml:space="preserve">11927010            </t>
        </is>
      </c>
      <c r="D1310" s="1" t="inlineStr">
        <is>
          <t>Си Джей Скьюз: острые на язык убийства</t>
        </is>
      </c>
      <c r="E1310" s="1" t="inlineStr">
        <is>
          <t>Дорогуша: Рассвет. Скьюз С.Дж.</t>
        </is>
      </c>
      <c r="F1310" s="13" t="inlineStr">
        <is>
          <t>См.обл.</t>
        </is>
      </c>
      <c r="G1310" s="1" t="inlineStr">
        <is>
          <t>Скьюз С.Дж.</t>
        </is>
      </c>
      <c r="H1310" s="1" t="inlineStr">
        <is>
          <t>60х90/16</t>
        </is>
      </c>
      <c r="I1310" s="1" t="n">
        <v>480</v>
      </c>
      <c r="J1310" s="1" t="inlineStr">
        <is>
          <t>Дом историй</t>
        </is>
      </c>
      <c r="K1310" s="1" t="inlineStr">
        <is>
          <t>Эвербук</t>
        </is>
      </c>
      <c r="M1310" s="1" t="inlineStr">
        <is>
          <t>2026</t>
        </is>
      </c>
      <c r="N1310" s="1" t="inlineStr">
        <is>
          <t>П</t>
        </is>
      </c>
      <c r="O1310" s="9" t="n">
        <v>12</v>
      </c>
      <c r="P1310" s="1">
        <f>ROUNDUP(1110*(1-$F$3),2)</f>
        <v/>
      </c>
      <c r="Q1310" s="1" t="inlineStr">
        <is>
          <t> </t>
        </is>
      </c>
      <c r="R1310" s="1" t="inlineStr">
        <is>
          <t>978-5-0058-0923-0</t>
        </is>
      </c>
      <c r="S1310" s="1" t="inlineStr">
        <is>
          <t>9785005809230</t>
        </is>
      </c>
      <c r="T1310" s="9" t="n">
        <v>22</v>
      </c>
      <c r="U1310" s="1">
        <f>ROUNDUP(909.84*(1-$F$3),2)</f>
        <v/>
      </c>
      <c r="V1310" s="1" t="n">
        <v>587</v>
      </c>
      <c r="Y1310" s="1" t="inlineStr">
        <is>
          <t>Дорогуша: Рассвет</t>
        </is>
      </c>
      <c r="Z1310" s="1" t="inlineStr">
        <is>
          <t>18+</t>
        </is>
      </c>
      <c r="AA1310" s="12" t="n">
        <v>45977</v>
      </c>
      <c r="AB1310" s="1" t="inlineStr">
        <is>
          <t>Художественная литература</t>
        </is>
      </c>
      <c r="AC1310" s="1" t="inlineStr">
        <is>
          <t>Детективы. Боевики. Триллеры</t>
        </is>
      </c>
      <c r="AD1310" s="1" t="inlineStr">
        <is>
          <t>Зарубежный детектив</t>
        </is>
      </c>
      <c r="AE1310" s="1" t="inlineStr">
        <is>
          <t>офсетная</t>
        </is>
      </c>
      <c r="AG1310" s="1" t="n">
        <v>11927010</v>
      </c>
      <c r="AI1310" s="1" t="inlineStr">
        <is>
          <t>4901990000</t>
        </is>
      </c>
      <c r="AJ1310" s="1" t="inlineStr">
        <is>
          <t>Зпв</t>
        </is>
      </c>
    </row>
    <row r="1311" customFormat="1" s="1">
      <c r="C1311" s="1" t="inlineStr">
        <is>
          <t xml:space="preserve">11541260            </t>
        </is>
      </c>
      <c r="D1311" s="1" t="inlineStr">
        <is>
          <t>Станция: иные миры</t>
        </is>
      </c>
      <c r="E1311" s="1" t="inlineStr">
        <is>
          <t>Население: одна. Мун Э.</t>
        </is>
      </c>
      <c r="F1311" s="13" t="inlineStr">
        <is>
          <t>См.обл.</t>
        </is>
      </c>
      <c r="G1311" s="1" t="inlineStr">
        <is>
          <t>Мун Э.</t>
        </is>
      </c>
      <c r="H1311" s="1" t="inlineStr">
        <is>
          <t>84х108/32</t>
        </is>
      </c>
      <c r="I1311" s="1" t="n">
        <v>416</v>
      </c>
      <c r="J1311" s="1" t="inlineStr">
        <is>
          <t>Дом историй</t>
        </is>
      </c>
      <c r="K1311" s="1" t="inlineStr">
        <is>
          <t>Эвербук</t>
        </is>
      </c>
      <c r="M1311" s="1" t="inlineStr">
        <is>
          <t>2026</t>
        </is>
      </c>
      <c r="N1311" s="1" t="inlineStr">
        <is>
          <t>П</t>
        </is>
      </c>
      <c r="O1311" s="9" t="n">
        <v>5</v>
      </c>
      <c r="P1311" s="1">
        <f>ROUNDUP(1250*(1-$F$3),2)</f>
        <v/>
      </c>
      <c r="Q1311" s="1" t="inlineStr">
        <is>
          <t> </t>
        </is>
      </c>
      <c r="R1311" s="1" t="inlineStr">
        <is>
          <t>978-5-0058-0326-9</t>
        </is>
      </c>
      <c r="S1311" s="1" t="inlineStr">
        <is>
          <t>9785005803269</t>
        </is>
      </c>
      <c r="T1311" s="9" t="n">
        <v>10</v>
      </c>
      <c r="U1311" s="1">
        <f>ROUNDUP(1136.36*(1-$F$3),2)</f>
        <v/>
      </c>
      <c r="V1311" s="1" t="n">
        <v>418</v>
      </c>
      <c r="Y1311" s="1" t="inlineStr">
        <is>
          <t>Население: одна</t>
        </is>
      </c>
      <c r="Z1311" s="1" t="inlineStr">
        <is>
          <t>16+</t>
        </is>
      </c>
      <c r="AA1311" s="12" t="n">
        <v>45603</v>
      </c>
      <c r="AB1311" s="1" t="inlineStr">
        <is>
          <t>Художественная литература</t>
        </is>
      </c>
      <c r="AC1311" s="1" t="inlineStr">
        <is>
          <t>Фантастика. Мистика. Ужасы</t>
        </is>
      </c>
      <c r="AD1311" s="1" t="inlineStr">
        <is>
          <t>Зарубежная фантастика</t>
        </is>
      </c>
      <c r="AE1311" s="1" t="inlineStr">
        <is>
          <t>офсетная</t>
        </is>
      </c>
      <c r="AG1311" s="1" t="n">
        <v>11541260</v>
      </c>
      <c r="AI1311" s="1" t="inlineStr">
        <is>
          <t>4901990000</t>
        </is>
      </c>
    </row>
    <row r="1312" customFormat="1" s="1">
      <c r="C1312" s="1" t="inlineStr">
        <is>
          <t xml:space="preserve">11541050            </t>
        </is>
      </c>
      <c r="D1312" s="1" t="inlineStr">
        <is>
          <t>Станция: иные миры</t>
        </is>
      </c>
      <c r="E1312" s="1" t="inlineStr">
        <is>
          <t>Остов. Сойер К.</t>
        </is>
      </c>
      <c r="F1312" s="13" t="inlineStr">
        <is>
          <t>См.обл.</t>
        </is>
      </c>
      <c r="G1312" s="1" t="inlineStr">
        <is>
          <t>Сойер К.</t>
        </is>
      </c>
      <c r="H1312" s="1" t="inlineStr">
        <is>
          <t>84х108/32</t>
        </is>
      </c>
      <c r="I1312" s="1" t="n">
        <v>400</v>
      </c>
      <c r="J1312" s="1" t="inlineStr">
        <is>
          <t>Дом историй</t>
        </is>
      </c>
      <c r="K1312" s="1" t="inlineStr">
        <is>
          <t>Эвербук</t>
        </is>
      </c>
      <c r="M1312" s="1" t="inlineStr">
        <is>
          <t>2023</t>
        </is>
      </c>
      <c r="N1312" s="1" t="inlineStr">
        <is>
          <t>П</t>
        </is>
      </c>
      <c r="O1312" s="9" t="n">
        <v>8</v>
      </c>
      <c r="P1312" s="1">
        <f>ROUNDUP(1300*(1-$F$3),2)</f>
        <v/>
      </c>
      <c r="Q1312" s="1" t="inlineStr">
        <is>
          <t> </t>
        </is>
      </c>
      <c r="R1312" s="1" t="inlineStr">
        <is>
          <t>978-5-0058-0220-0</t>
        </is>
      </c>
      <c r="S1312" s="1" t="inlineStr">
        <is>
          <t>9785005802200</t>
        </is>
      </c>
      <c r="T1312" s="9" t="n">
        <v>22</v>
      </c>
      <c r="U1312" s="1">
        <f>ROUNDUP(1065.57*(1-$F$3),2)</f>
        <v/>
      </c>
      <c r="V1312" s="1" t="n">
        <v>426</v>
      </c>
      <c r="Y1312" s="1" t="inlineStr">
        <is>
          <t>Остов</t>
        </is>
      </c>
      <c r="Z1312" s="1" t="inlineStr">
        <is>
          <t>18+</t>
        </is>
      </c>
      <c r="AA1312" s="12" t="n">
        <v>45603</v>
      </c>
      <c r="AB1312" s="1" t="inlineStr">
        <is>
          <t>Художественная литература</t>
        </is>
      </c>
      <c r="AC1312" s="1" t="inlineStr">
        <is>
          <t>Зарубежная литература</t>
        </is>
      </c>
      <c r="AD1312" s="1" t="inlineStr">
        <is>
          <t>Европейская литература</t>
        </is>
      </c>
      <c r="AE1312" s="1" t="inlineStr">
        <is>
          <t>офсетная</t>
        </is>
      </c>
      <c r="AG1312" s="1" t="n">
        <v>11541050</v>
      </c>
      <c r="AI1312" s="1" t="inlineStr">
        <is>
          <t>4901990000</t>
        </is>
      </c>
      <c r="AJ1312" s="1" t="inlineStr">
        <is>
          <t>Зпв</t>
        </is>
      </c>
    </row>
    <row r="1313" customFormat="1" s="1">
      <c r="C1313" s="1" t="inlineStr">
        <is>
          <t xml:space="preserve">11567380            </t>
        </is>
      </c>
      <c r="D1313" s="1" t="inlineStr">
        <is>
          <t>Станция: иные миры</t>
        </is>
      </c>
      <c r="E1313" s="1" t="inlineStr">
        <is>
          <t>Стая. Шетцинг Ф.</t>
        </is>
      </c>
      <c r="F1313" s="13" t="inlineStr">
        <is>
          <t>См.обл.</t>
        </is>
      </c>
      <c r="G1313" s="1" t="inlineStr">
        <is>
          <t>Шетцинг Ф.</t>
        </is>
      </c>
      <c r="H1313" s="1" t="inlineStr">
        <is>
          <t>60х90/16</t>
        </is>
      </c>
      <c r="I1313" s="1" t="n">
        <v>768</v>
      </c>
      <c r="J1313" s="1" t="inlineStr">
        <is>
          <t>Дом историй</t>
        </is>
      </c>
      <c r="K1313" s="1" t="inlineStr">
        <is>
          <t>Эвербук</t>
        </is>
      </c>
      <c r="M1313" s="1" t="inlineStr">
        <is>
          <t>2024</t>
        </is>
      </c>
      <c r="N1313" s="1" t="inlineStr">
        <is>
          <t>О</t>
        </is>
      </c>
      <c r="O1313" s="9" t="n">
        <v>4</v>
      </c>
      <c r="P1313" s="1">
        <f>ROUNDUP(1290*(1-$F$3),2)</f>
        <v/>
      </c>
      <c r="Q1313" s="1" t="inlineStr">
        <is>
          <t> </t>
        </is>
      </c>
      <c r="R1313" s="1" t="inlineStr">
        <is>
          <t>978-5-0058-0477-8</t>
        </is>
      </c>
      <c r="S1313" s="1" t="inlineStr">
        <is>
          <t>9785005804778</t>
        </is>
      </c>
      <c r="T1313" s="9" t="n">
        <v>10</v>
      </c>
      <c r="U1313" s="1">
        <f>ROUNDUP(1172.73*(1-$F$3),2)</f>
        <v/>
      </c>
      <c r="V1313" s="1" t="n">
        <v>629</v>
      </c>
      <c r="Y1313" s="1" t="inlineStr">
        <is>
          <t>Стая</t>
        </is>
      </c>
      <c r="Z1313" s="1" t="inlineStr">
        <is>
          <t>16+</t>
        </is>
      </c>
      <c r="AA1313" s="12" t="n">
        <v>45613</v>
      </c>
      <c r="AB1313" s="1" t="inlineStr">
        <is>
          <t>Художественная литература</t>
        </is>
      </c>
      <c r="AC1313" s="1" t="inlineStr">
        <is>
          <t>Фантастика. Мистика. Ужасы</t>
        </is>
      </c>
      <c r="AD1313" s="1" t="inlineStr">
        <is>
          <t>Зарубежная фантастика</t>
        </is>
      </c>
      <c r="AE1313" s="1" t="inlineStr">
        <is>
          <t>офсетная</t>
        </is>
      </c>
      <c r="AG1313" s="1" t="n">
        <v>11567380</v>
      </c>
      <c r="AI1313" s="1" t="inlineStr">
        <is>
          <t>4901990000</t>
        </is>
      </c>
    </row>
    <row r="1314" customFormat="1" s="1">
      <c r="C1314" s="1" t="inlineStr">
        <is>
          <t xml:space="preserve">12026990            </t>
        </is>
      </c>
      <c r="D1314" s="1" t="inlineStr">
        <is>
          <t>Станция: иные миры</t>
        </is>
      </c>
      <c r="E1314" s="1" t="inlineStr">
        <is>
          <t>Тирания бабочки. Шетцинг Ф.</t>
        </is>
      </c>
      <c r="F1314" s="13" t="inlineStr">
        <is>
          <t>См.обл.</t>
        </is>
      </c>
      <c r="G1314" s="1" t="inlineStr">
        <is>
          <t>Шетцинг Ф.</t>
        </is>
      </c>
      <c r="H1314" s="1" t="inlineStr">
        <is>
          <t>60х90/16</t>
        </is>
      </c>
      <c r="I1314" s="1" t="n">
        <v>720</v>
      </c>
      <c r="J1314" s="1" t="inlineStr">
        <is>
          <t>Дом историй</t>
        </is>
      </c>
      <c r="K1314" s="1" t="inlineStr">
        <is>
          <t>Эвербук</t>
        </is>
      </c>
      <c r="M1314" s="1" t="inlineStr">
        <is>
          <t>2026</t>
        </is>
      </c>
      <c r="N1314" s="1" t="inlineStr">
        <is>
          <t>О</t>
        </is>
      </c>
      <c r="O1314" s="9" t="n">
        <v>6</v>
      </c>
      <c r="P1314" s="1">
        <f>ROUNDUP(1190*(1-$F$3),2)</f>
        <v/>
      </c>
      <c r="Q1314" s="1" t="inlineStr">
        <is>
          <t> </t>
        </is>
      </c>
      <c r="R1314" s="1" t="inlineStr">
        <is>
          <t>978-5-0058-0986-5</t>
        </is>
      </c>
      <c r="S1314" s="1" t="inlineStr">
        <is>
          <t>9785005809865</t>
        </is>
      </c>
      <c r="T1314" s="9" t="n">
        <v>22</v>
      </c>
      <c r="U1314" s="1">
        <f>ROUNDUP(975.41*(1-$F$3),2)</f>
        <v/>
      </c>
      <c r="V1314" s="1" t="n">
        <v>648</v>
      </c>
      <c r="Y1314" s="1" t="inlineStr">
        <is>
          <t>Тирания бабочки</t>
        </is>
      </c>
      <c r="Z1314" s="1" t="inlineStr">
        <is>
          <t>18+</t>
        </is>
      </c>
      <c r="AA1314" s="12" t="n">
        <v>46098</v>
      </c>
      <c r="AB1314" s="1" t="inlineStr">
        <is>
          <t>Художественная литература</t>
        </is>
      </c>
      <c r="AC1314" s="1" t="inlineStr">
        <is>
          <t>Фантастика. Мистика. Ужасы</t>
        </is>
      </c>
      <c r="AD1314" s="1" t="inlineStr">
        <is>
          <t>Зарубежная фантастика</t>
        </is>
      </c>
      <c r="AE1314" s="1" t="inlineStr">
        <is>
          <t>офсетная</t>
        </is>
      </c>
      <c r="AG1314" s="1" t="n">
        <v>12026990</v>
      </c>
      <c r="AI1314" s="1" t="inlineStr">
        <is>
          <t>4901990000</t>
        </is>
      </c>
      <c r="AJ1314" s="1" t="inlineStr">
        <is>
          <t>Зпв</t>
        </is>
      </c>
    </row>
    <row r="1315" customFormat="1" s="1">
      <c r="C1315" s="1" t="inlineStr">
        <is>
          <t xml:space="preserve">11575250            </t>
        </is>
      </c>
      <c r="D1315" s="1" t="inlineStr">
        <is>
          <t>Тайная комната: немного волшебства</t>
        </is>
      </c>
      <c r="E1315" s="1" t="inlineStr">
        <is>
          <t>Ведьмин ресторан. Ку Санхи</t>
        </is>
      </c>
      <c r="F1315" s="13" t="inlineStr">
        <is>
          <t>См.обл.</t>
        </is>
      </c>
      <c r="G1315" s="1" t="inlineStr">
        <is>
          <t>Ку Санхи</t>
        </is>
      </c>
      <c r="H1315" s="1" t="inlineStr">
        <is>
          <t>84х108/32</t>
        </is>
      </c>
      <c r="I1315" s="1" t="n">
        <v>352</v>
      </c>
      <c r="J1315" s="1" t="inlineStr">
        <is>
          <t>Дом историй</t>
        </is>
      </c>
      <c r="K1315" s="1" t="inlineStr">
        <is>
          <t>Эвербук</t>
        </is>
      </c>
      <c r="M1315" s="1" t="inlineStr">
        <is>
          <t>2025</t>
        </is>
      </c>
      <c r="N1315" s="1" t="inlineStr">
        <is>
          <t>П</t>
        </is>
      </c>
      <c r="O1315" s="9" t="n">
        <v>14</v>
      </c>
      <c r="P1315" s="1">
        <f>ROUNDUP(1140*(1-$F$3),2)</f>
        <v/>
      </c>
      <c r="Q1315" s="1" t="inlineStr">
        <is>
          <t> </t>
        </is>
      </c>
      <c r="R1315" s="1" t="inlineStr">
        <is>
          <t>978-5-0058-0520-1</t>
        </is>
      </c>
      <c r="S1315" s="1" t="inlineStr">
        <is>
          <t>9785005805201</t>
        </is>
      </c>
      <c r="T1315" s="9" t="n">
        <v>10</v>
      </c>
      <c r="U1315" s="1">
        <f>ROUNDUP(1036.36*(1-$F$3),2)</f>
        <v/>
      </c>
      <c r="V1315" s="1" t="n">
        <v>384</v>
      </c>
      <c r="Y1315" s="1" t="inlineStr">
        <is>
          <t>Ведьмин ресторан</t>
        </is>
      </c>
      <c r="Z1315" s="1" t="inlineStr">
        <is>
          <t>16+</t>
        </is>
      </c>
      <c r="AA1315" s="12" t="n">
        <v>45620</v>
      </c>
      <c r="AB1315" s="1" t="inlineStr">
        <is>
          <t>Художественная литература</t>
        </is>
      </c>
      <c r="AC1315" s="1" t="inlineStr">
        <is>
          <t>Фантастика. Мистика. Ужасы</t>
        </is>
      </c>
      <c r="AD1315" s="1" t="inlineStr">
        <is>
          <t>Фэнтези</t>
        </is>
      </c>
      <c r="AE1315" s="1" t="inlineStr">
        <is>
          <t>офсетная</t>
        </is>
      </c>
      <c r="AG1315" s="1" t="n">
        <v>11575250</v>
      </c>
      <c r="AI1315" s="1" t="inlineStr">
        <is>
          <t>4901990000</t>
        </is>
      </c>
    </row>
    <row r="1316" customFormat="1" s="1">
      <c r="C1316" s="1" t="inlineStr">
        <is>
          <t xml:space="preserve">11592320            </t>
        </is>
      </c>
      <c r="D1316" s="1" t="inlineStr">
        <is>
          <t>Тайная комната: немного волшебства</t>
        </is>
      </c>
      <c r="E1316" s="1" t="inlineStr">
        <is>
          <t>Книга дверей. Браун Г.</t>
        </is>
      </c>
      <c r="F1316" s="13" t="inlineStr">
        <is>
          <t>См.обл.</t>
        </is>
      </c>
      <c r="G1316" s="1" t="inlineStr">
        <is>
          <t>Браун Г.</t>
        </is>
      </c>
      <c r="H1316" s="1" t="inlineStr">
        <is>
          <t>60х90/16</t>
        </is>
      </c>
      <c r="I1316" s="1" t="n">
        <v>512</v>
      </c>
      <c r="J1316" s="1" t="inlineStr">
        <is>
          <t>Дом историй</t>
        </is>
      </c>
      <c r="K1316" s="1" t="inlineStr">
        <is>
          <t>Эвербук</t>
        </is>
      </c>
      <c r="M1316" s="1" t="inlineStr">
        <is>
          <t>2025</t>
        </is>
      </c>
      <c r="N1316" s="1" t="inlineStr">
        <is>
          <t>П</t>
        </is>
      </c>
      <c r="O1316" s="9" t="n">
        <v>6</v>
      </c>
      <c r="P1316" s="1">
        <f>ROUNDUP(1350*(1-$F$3),2)</f>
        <v/>
      </c>
      <c r="Q1316" s="1" t="inlineStr">
        <is>
          <t> </t>
        </is>
      </c>
      <c r="R1316" s="1" t="inlineStr">
        <is>
          <t>978-5-0058-0487-7</t>
        </is>
      </c>
      <c r="S1316" s="1" t="inlineStr">
        <is>
          <t>9785005804877</t>
        </is>
      </c>
      <c r="T1316" s="9" t="n">
        <v>10</v>
      </c>
      <c r="U1316" s="1">
        <f>ROUNDUP(1227.27*(1-$F$3),2)</f>
        <v/>
      </c>
      <c r="V1316" s="1" t="n">
        <v>615</v>
      </c>
      <c r="Y1316" s="1" t="inlineStr">
        <is>
          <t>Книга дверей</t>
        </is>
      </c>
      <c r="Z1316" s="1" t="inlineStr">
        <is>
          <t>16+</t>
        </is>
      </c>
      <c r="AA1316" s="12" t="n">
        <v>45672</v>
      </c>
      <c r="AB1316" s="1" t="inlineStr">
        <is>
          <t>Художественная литература</t>
        </is>
      </c>
      <c r="AC1316" s="1" t="inlineStr">
        <is>
          <t>Фантастика. Мистика. Ужасы</t>
        </is>
      </c>
      <c r="AD1316" s="1" t="inlineStr">
        <is>
          <t>Фэнтези</t>
        </is>
      </c>
      <c r="AE1316" s="1" t="inlineStr">
        <is>
          <t>офсетная</t>
        </is>
      </c>
      <c r="AG1316" s="1" t="n">
        <v>11592320</v>
      </c>
      <c r="AI1316" s="1" t="inlineStr">
        <is>
          <t>4901990000</t>
        </is>
      </c>
    </row>
    <row r="1317" customFormat="1" s="1">
      <c r="C1317" s="1" t="inlineStr">
        <is>
          <t xml:space="preserve">11935880            </t>
        </is>
      </c>
      <c r="D1317" s="1" t="inlineStr">
        <is>
          <t>Тайная комната: немного волшебства</t>
        </is>
      </c>
      <c r="E1317" s="1" t="inlineStr">
        <is>
          <t>Мельница. Волынцева Е., Копейкина Н.</t>
        </is>
      </c>
      <c r="F1317" s="13" t="inlineStr">
        <is>
          <t>См.обл.</t>
        </is>
      </c>
      <c r="G1317" s="1" t="inlineStr">
        <is>
          <t>Волынцева Е., Копейкина Н.</t>
        </is>
      </c>
      <c r="H1317" s="1" t="inlineStr">
        <is>
          <t>84х108/32</t>
        </is>
      </c>
      <c r="I1317" s="1" t="n">
        <v>288</v>
      </c>
      <c r="J1317" s="1" t="inlineStr">
        <is>
          <t>Дом историй</t>
        </is>
      </c>
      <c r="K1317" s="1" t="inlineStr">
        <is>
          <t>Эвербук</t>
        </is>
      </c>
      <c r="M1317" s="1" t="inlineStr">
        <is>
          <t>2026</t>
        </is>
      </c>
      <c r="N1317" s="1" t="inlineStr">
        <is>
          <t>П</t>
        </is>
      </c>
      <c r="O1317" s="9" t="n">
        <v>16</v>
      </c>
      <c r="P1317" s="1">
        <f>ROUNDUP(960*(1-$F$3),2)</f>
        <v/>
      </c>
      <c r="Q1317" s="1" t="inlineStr">
        <is>
          <t> </t>
        </is>
      </c>
      <c r="R1317" s="1" t="inlineStr">
        <is>
          <t>978-5-0058-0933-9</t>
        </is>
      </c>
      <c r="S1317" s="1" t="inlineStr">
        <is>
          <t>9785005809339</t>
        </is>
      </c>
      <c r="T1317" s="9" t="n">
        <v>10</v>
      </c>
      <c r="U1317" s="1">
        <f>ROUNDUP(872.73*(1-$F$3),2)</f>
        <v/>
      </c>
      <c r="V1317" s="1" t="n">
        <v>317</v>
      </c>
      <c r="Y1317" s="1" t="inlineStr">
        <is>
          <t>Мельница</t>
        </is>
      </c>
      <c r="Z1317" s="1" t="inlineStr">
        <is>
          <t>16+</t>
        </is>
      </c>
      <c r="AA1317" s="12" t="n">
        <v>45988</v>
      </c>
      <c r="AB1317" s="1" t="inlineStr">
        <is>
          <t>Художественная литература</t>
        </is>
      </c>
      <c r="AC1317" s="1" t="inlineStr">
        <is>
          <t>Фантастика. Мистика. Ужасы</t>
        </is>
      </c>
      <c r="AD1317" s="1" t="inlineStr">
        <is>
          <t>Фэнтези</t>
        </is>
      </c>
      <c r="AE1317" s="1" t="inlineStr">
        <is>
          <t>офсетная</t>
        </is>
      </c>
      <c r="AG1317" s="1" t="n">
        <v>11935880</v>
      </c>
      <c r="AI1317" s="1" t="inlineStr">
        <is>
          <t>4901990000</t>
        </is>
      </c>
    </row>
    <row r="1318" customFormat="1" s="11">
      <c r="A1318" s="11" t="inlineStr">
        <is>
          <t>нов</t>
        </is>
      </c>
      <c r="C1318" s="11" t="inlineStr">
        <is>
          <t xml:space="preserve">12257000            </t>
        </is>
      </c>
      <c r="D1318" s="11" t="inlineStr">
        <is>
          <t>Тайная комната: немного волшебства</t>
        </is>
      </c>
      <c r="E1318" s="11" t="inlineStr">
        <is>
          <t>Мельница. Другая сторона. Волынцева Е., Копейкина Н.</t>
        </is>
      </c>
      <c r="F1318" s="14" t="inlineStr">
        <is>
          <t>См.обл.</t>
        </is>
      </c>
      <c r="G1318" s="11" t="inlineStr">
        <is>
          <t>Волынцева Е., Копейкина Н.</t>
        </is>
      </c>
      <c r="H1318" s="11" t="inlineStr">
        <is>
          <t>84х108/32</t>
        </is>
      </c>
      <c r="I1318" s="11" t="n">
        <v>288</v>
      </c>
      <c r="J1318" s="11" t="inlineStr">
        <is>
          <t>Дом историй</t>
        </is>
      </c>
      <c r="K1318" s="11" t="inlineStr">
        <is>
          <t>Эвербук</t>
        </is>
      </c>
      <c r="M1318" s="11" t="inlineStr">
        <is>
          <t>2026</t>
        </is>
      </c>
      <c r="N1318" s="11" t="inlineStr">
        <is>
          <t>П</t>
        </is>
      </c>
      <c r="O1318" s="26" t="n">
        <v>12</v>
      </c>
      <c r="P1318" s="11">
        <f>ROUNDUP(790*(1-$F$3),2)</f>
        <v/>
      </c>
      <c r="Q1318" s="11" t="inlineStr">
        <is>
          <t> </t>
        </is>
      </c>
      <c r="R1318" s="11" t="inlineStr">
        <is>
          <t>978-5-386-15640-4</t>
        </is>
      </c>
      <c r="S1318" s="11" t="inlineStr">
        <is>
          <t>9785386156404</t>
        </is>
      </c>
      <c r="T1318" s="26" t="n">
        <v>10</v>
      </c>
      <c r="U1318" s="11">
        <f>ROUNDUP(718.18*(1-$F$3),2)</f>
        <v/>
      </c>
      <c r="V1318" s="11" t="n">
        <v>316</v>
      </c>
      <c r="Y1318" s="11" t="inlineStr">
        <is>
          <t>Мельница. Другая сторона</t>
        </is>
      </c>
      <c r="Z1318" s="11" t="inlineStr">
        <is>
          <t>16+</t>
        </is>
      </c>
      <c r="AA1318" s="15" t="n">
        <v>46268</v>
      </c>
      <c r="AB1318" s="11" t="inlineStr">
        <is>
          <t>Художественная литература</t>
        </is>
      </c>
      <c r="AC1318" s="11" t="inlineStr">
        <is>
          <t>Фантастика. Мистика. Ужасы</t>
        </is>
      </c>
      <c r="AD1318" s="11" t="inlineStr">
        <is>
          <t>Фэнтези</t>
        </is>
      </c>
      <c r="AE1318" s="11" t="inlineStr">
        <is>
          <t>офсетная</t>
        </is>
      </c>
      <c r="AG1318" s="11" t="n">
        <v>12257000</v>
      </c>
      <c r="AI1318" s="11" t="inlineStr">
        <is>
          <t>4901990000</t>
        </is>
      </c>
    </row>
    <row r="1319" customFormat="1" s="1">
      <c r="C1319" s="1" t="inlineStr">
        <is>
          <t xml:space="preserve">11591730            </t>
        </is>
      </c>
      <c r="D1319" s="1" t="inlineStr">
        <is>
          <t>Тайная комната: немного волшебства</t>
        </is>
      </c>
      <c r="E1319" s="1" t="inlineStr">
        <is>
          <t>Неваляшка. Волынцева Е., Копейкина Н.</t>
        </is>
      </c>
      <c r="F1319" s="13" t="inlineStr">
        <is>
          <t>См.обл.</t>
        </is>
      </c>
      <c r="G1319" s="1" t="inlineStr">
        <is>
          <t>Волынцева Е., Копейкина Н.</t>
        </is>
      </c>
      <c r="H1319" s="1" t="inlineStr">
        <is>
          <t>84х108/32</t>
        </is>
      </c>
      <c r="I1319" s="1" t="n">
        <v>288</v>
      </c>
      <c r="J1319" s="1" t="inlineStr">
        <is>
          <t>Дом историй</t>
        </is>
      </c>
      <c r="K1319" s="1" t="inlineStr">
        <is>
          <t>Эвербук</t>
        </is>
      </c>
      <c r="M1319" s="1" t="inlineStr">
        <is>
          <t>2025</t>
        </is>
      </c>
      <c r="N1319" s="1" t="inlineStr">
        <is>
          <t>П</t>
        </is>
      </c>
      <c r="O1319" s="9" t="n">
        <v>12</v>
      </c>
      <c r="P1319" s="1">
        <f>ROUNDUP(870*(1-$F$3),2)</f>
        <v/>
      </c>
      <c r="Q1319" s="1" t="inlineStr">
        <is>
          <t> </t>
        </is>
      </c>
      <c r="R1319" s="1" t="inlineStr">
        <is>
          <t>978-5-0058-0498-3</t>
        </is>
      </c>
      <c r="S1319" s="1" t="inlineStr">
        <is>
          <t>9785005804983</t>
        </is>
      </c>
      <c r="T1319" s="9" t="n">
        <v>10</v>
      </c>
      <c r="U1319" s="1">
        <f>ROUNDUP(790.91*(1-$F$3),2)</f>
        <v/>
      </c>
      <c r="V1319" s="1" t="n">
        <v>313</v>
      </c>
      <c r="Y1319" s="1" t="inlineStr">
        <is>
          <t>Неваляшка</t>
        </is>
      </c>
      <c r="Z1319" s="1" t="inlineStr">
        <is>
          <t>16+</t>
        </is>
      </c>
      <c r="AA1319" s="12" t="n">
        <v>45635</v>
      </c>
      <c r="AB1319" s="1" t="inlineStr">
        <is>
          <t>Художественная литература</t>
        </is>
      </c>
      <c r="AC1319" s="1" t="inlineStr">
        <is>
          <t>Фантастика. Мистика. Ужасы</t>
        </is>
      </c>
      <c r="AD1319" s="1" t="inlineStr">
        <is>
          <t>Фэнтези</t>
        </is>
      </c>
      <c r="AE1319" s="1" t="inlineStr">
        <is>
          <t>офсетная</t>
        </is>
      </c>
      <c r="AG1319" s="1" t="n">
        <v>11591730</v>
      </c>
      <c r="AI1319" s="1" t="inlineStr">
        <is>
          <t>4901990000</t>
        </is>
      </c>
      <c r="AJ1319" s="1" t="inlineStr">
        <is>
          <t>Зпв</t>
        </is>
      </c>
    </row>
    <row r="1320" customFormat="1" s="1">
      <c r="C1320" s="1" t="inlineStr">
        <is>
          <t xml:space="preserve">12026520            </t>
        </is>
      </c>
      <c r="D1320" s="1" t="inlineStr">
        <is>
          <t>Тайная комната: немного волшебства</t>
        </is>
      </c>
      <c r="E1320" s="1" t="inlineStr">
        <is>
          <t>Оккультриелтор. Цзян Тай-юй</t>
        </is>
      </c>
      <c r="F1320" s="13" t="inlineStr">
        <is>
          <t>См.обл.</t>
        </is>
      </c>
      <c r="G1320" s="1" t="inlineStr">
        <is>
          <t>Цзян Тай-юй</t>
        </is>
      </c>
      <c r="H1320" s="1" t="inlineStr">
        <is>
          <t>84х108/32</t>
        </is>
      </c>
      <c r="I1320" s="1" t="n">
        <v>336</v>
      </c>
      <c r="J1320" s="1" t="inlineStr">
        <is>
          <t>Дом историй</t>
        </is>
      </c>
      <c r="K1320" s="1" t="inlineStr">
        <is>
          <t>Эвербук</t>
        </is>
      </c>
      <c r="M1320" s="1" t="inlineStr">
        <is>
          <t>2026</t>
        </is>
      </c>
      <c r="N1320" s="1" t="inlineStr">
        <is>
          <t>П</t>
        </is>
      </c>
      <c r="O1320" s="9" t="n">
        <v>16</v>
      </c>
      <c r="P1320" s="1">
        <f>ROUNDUP(850*(1-$F$3),2)</f>
        <v/>
      </c>
      <c r="Q1320" s="1" t="inlineStr">
        <is>
          <t> </t>
        </is>
      </c>
      <c r="R1320" s="1" t="inlineStr">
        <is>
          <t>978-5-0058-0983-4</t>
        </is>
      </c>
      <c r="S1320" s="1" t="inlineStr">
        <is>
          <t>9785005809834</t>
        </is>
      </c>
      <c r="T1320" s="9" t="n">
        <v>10</v>
      </c>
      <c r="U1320" s="1">
        <f>ROUNDUP(772.73*(1-$F$3),2)</f>
        <v/>
      </c>
      <c r="V1320" s="1" t="n">
        <v>376</v>
      </c>
      <c r="Y1320" s="1" t="inlineStr">
        <is>
          <t>Оккультриелтор</t>
        </is>
      </c>
      <c r="Z1320" s="1" t="inlineStr">
        <is>
          <t>16+</t>
        </is>
      </c>
      <c r="AA1320" s="12" t="n">
        <v>46075</v>
      </c>
      <c r="AB1320" s="1" t="inlineStr">
        <is>
          <t>Художественная литература</t>
        </is>
      </c>
      <c r="AC1320" s="1" t="inlineStr">
        <is>
          <t>Фантастика. Мистика. Ужасы</t>
        </is>
      </c>
      <c r="AD1320" s="1" t="inlineStr">
        <is>
          <t>Мистика. Ужасы</t>
        </is>
      </c>
      <c r="AE1320" s="1" t="inlineStr">
        <is>
          <t>офсетная</t>
        </is>
      </c>
      <c r="AG1320" s="1" t="n">
        <v>12026520</v>
      </c>
      <c r="AI1320" s="1" t="inlineStr">
        <is>
          <t>4901990000</t>
        </is>
      </c>
    </row>
    <row r="1321" customFormat="1" s="1">
      <c r="C1321" s="1" t="inlineStr">
        <is>
          <t xml:space="preserve">12136060            </t>
        </is>
      </c>
      <c r="D1321" s="1" t="inlineStr">
        <is>
          <t>Тайная комната: немного волшебства</t>
        </is>
      </c>
      <c r="E1321" s="1" t="inlineStr">
        <is>
          <t>Сезонные страхи. Макгвайр Ш.</t>
        </is>
      </c>
      <c r="F1321" s="13" t="inlineStr">
        <is>
          <t>См.обл.</t>
        </is>
      </c>
      <c r="G1321" s="1" t="inlineStr">
        <is>
          <t>Макгвайр Ш.</t>
        </is>
      </c>
      <c r="H1321" s="1" t="inlineStr">
        <is>
          <t>60х90/16</t>
        </is>
      </c>
      <c r="I1321" s="1" t="n">
        <v>544</v>
      </c>
      <c r="J1321" s="1" t="inlineStr">
        <is>
          <t>Дом историй</t>
        </is>
      </c>
      <c r="K1321" s="1" t="inlineStr">
        <is>
          <t>Эвербук</t>
        </is>
      </c>
      <c r="M1321" s="1" t="inlineStr">
        <is>
          <t>2026</t>
        </is>
      </c>
      <c r="N1321" s="1" t="inlineStr">
        <is>
          <t>П</t>
        </is>
      </c>
      <c r="O1321" s="9" t="n">
        <v>8</v>
      </c>
      <c r="P1321" s="1">
        <f>ROUNDUP(1290*(1-$F$3),2)</f>
        <v/>
      </c>
      <c r="Q1321" s="1" t="inlineStr">
        <is>
          <t> </t>
        </is>
      </c>
      <c r="R1321" s="1" t="inlineStr">
        <is>
          <t>978-5-0058-0953-7</t>
        </is>
      </c>
      <c r="S1321" s="1" t="inlineStr">
        <is>
          <t>9785005809537</t>
        </is>
      </c>
      <c r="T1321" s="9" t="n">
        <v>10</v>
      </c>
      <c r="U1321" s="1">
        <f>ROUNDUP(1172.73*(1-$F$3),2)</f>
        <v/>
      </c>
      <c r="V1321" s="1" t="n">
        <v>627</v>
      </c>
      <c r="Y1321" s="1" t="inlineStr">
        <is>
          <t>Сезонные страхи</t>
        </is>
      </c>
      <c r="Z1321" s="1" t="inlineStr">
        <is>
          <t>16+</t>
        </is>
      </c>
      <c r="AA1321" s="12" t="n">
        <v>46168</v>
      </c>
      <c r="AB1321" s="1" t="inlineStr">
        <is>
          <t>Художественная литература</t>
        </is>
      </c>
      <c r="AC1321" s="1" t="inlineStr">
        <is>
          <t>Фантастика. Мистика. Ужасы</t>
        </is>
      </c>
      <c r="AD1321" s="1" t="inlineStr">
        <is>
          <t>Фэнтези</t>
        </is>
      </c>
      <c r="AE1321" s="1" t="inlineStr">
        <is>
          <t>офсетная</t>
        </is>
      </c>
      <c r="AG1321" s="1" t="n">
        <v>12136060</v>
      </c>
      <c r="AI1321" s="1" t="inlineStr">
        <is>
          <t>4901990000</t>
        </is>
      </c>
    </row>
    <row r="1322" customFormat="1" s="1">
      <c r="C1322" s="1" t="inlineStr">
        <is>
          <t xml:space="preserve">12026570            </t>
        </is>
      </c>
      <c r="D1322" s="1" t="inlineStr">
        <is>
          <t>Чердак: готические романы</t>
        </is>
      </c>
      <c r="E1322" s="1" t="inlineStr">
        <is>
          <t>Актер. Макдональд К.</t>
        </is>
      </c>
      <c r="F1322" s="13" t="inlineStr">
        <is>
          <t>См.обл.</t>
        </is>
      </c>
      <c r="G1322" s="1" t="inlineStr">
        <is>
          <t>Макдональд К.</t>
        </is>
      </c>
      <c r="H1322" s="1" t="inlineStr">
        <is>
          <t>60х90/16</t>
        </is>
      </c>
      <c r="I1322" s="1" t="n">
        <v>432</v>
      </c>
      <c r="J1322" s="1" t="inlineStr">
        <is>
          <t>Дом историй</t>
        </is>
      </c>
      <c r="K1322" s="1" t="inlineStr">
        <is>
          <t>Эвербук</t>
        </is>
      </c>
      <c r="M1322" s="1" t="inlineStr">
        <is>
          <t>2026</t>
        </is>
      </c>
      <c r="N1322" s="1" t="inlineStr">
        <is>
          <t>П</t>
        </is>
      </c>
      <c r="O1322" s="9" t="n">
        <v>12</v>
      </c>
      <c r="P1322" s="1">
        <f>ROUNDUP(1190*(1-$F$3),2)</f>
        <v/>
      </c>
      <c r="Q1322" s="1" t="inlineStr">
        <is>
          <t> </t>
        </is>
      </c>
      <c r="R1322" s="1" t="inlineStr">
        <is>
          <t>978-5-0058-0919-3</t>
        </is>
      </c>
      <c r="S1322" s="1" t="inlineStr">
        <is>
          <t>9785005809193</t>
        </is>
      </c>
      <c r="T1322" s="9" t="n">
        <v>22</v>
      </c>
      <c r="U1322" s="1">
        <f>ROUNDUP(975.41*(1-$F$3),2)</f>
        <v/>
      </c>
      <c r="V1322" s="1" t="n">
        <v>523</v>
      </c>
      <c r="Y1322" s="1" t="inlineStr">
        <is>
          <t>Актер</t>
        </is>
      </c>
      <c r="Z1322" s="1" t="inlineStr">
        <is>
          <t>18+</t>
        </is>
      </c>
      <c r="AA1322" s="12" t="n">
        <v>46075</v>
      </c>
      <c r="AB1322" s="1" t="inlineStr">
        <is>
          <t>Художественная литература</t>
        </is>
      </c>
      <c r="AC1322" s="1" t="inlineStr">
        <is>
          <t>Фантастика. Мистика. Ужасы</t>
        </is>
      </c>
      <c r="AD1322" s="1" t="inlineStr">
        <is>
          <t>Мистика. Ужасы</t>
        </is>
      </c>
      <c r="AE1322" s="1" t="inlineStr">
        <is>
          <t>офсетная</t>
        </is>
      </c>
      <c r="AG1322" s="1" t="n">
        <v>12026570</v>
      </c>
      <c r="AI1322" s="1" t="inlineStr">
        <is>
          <t>4901990000</t>
        </is>
      </c>
      <c r="AJ1322" s="1" t="inlineStr">
        <is>
          <t>Зпв</t>
        </is>
      </c>
    </row>
    <row r="1323" customFormat="1" s="1">
      <c r="C1323" s="1" t="inlineStr">
        <is>
          <t xml:space="preserve">11848730            </t>
        </is>
      </c>
      <c r="D1323" s="1" t="inlineStr">
        <is>
          <t>Чердак: готические романы</t>
        </is>
      </c>
      <c r="E1323" s="1" t="inlineStr">
        <is>
          <t>Диавола. Торн Дж.</t>
        </is>
      </c>
      <c r="F1323" s="13" t="inlineStr">
        <is>
          <t>См.обл.</t>
        </is>
      </c>
      <c r="G1323" s="1" t="inlineStr">
        <is>
          <t>Торн Дж.</t>
        </is>
      </c>
      <c r="H1323" s="1" t="inlineStr">
        <is>
          <t>84х108/32</t>
        </is>
      </c>
      <c r="I1323" s="1" t="n">
        <v>480</v>
      </c>
      <c r="J1323" s="1" t="inlineStr">
        <is>
          <t>Дом историй</t>
        </is>
      </c>
      <c r="K1323" s="1" t="inlineStr">
        <is>
          <t>Эвербук</t>
        </is>
      </c>
      <c r="M1323" s="1" t="inlineStr">
        <is>
          <t>2025</t>
        </is>
      </c>
      <c r="N1323" s="1" t="inlineStr">
        <is>
          <t>П</t>
        </is>
      </c>
      <c r="O1323" s="9" t="n">
        <v>8</v>
      </c>
      <c r="P1323" s="1">
        <f>ROUNDUP(1000*(1-$F$3),2)</f>
        <v/>
      </c>
      <c r="Q1323" s="1" t="inlineStr">
        <is>
          <t> </t>
        </is>
      </c>
      <c r="R1323" s="1" t="inlineStr">
        <is>
          <t>978-5-0058-0846-2</t>
        </is>
      </c>
      <c r="S1323" s="1" t="inlineStr">
        <is>
          <t>9785005808462</t>
        </is>
      </c>
      <c r="T1323" s="9" t="n">
        <v>22</v>
      </c>
      <c r="U1323" s="1">
        <f>ROUNDUP(819.67*(1-$F$3),2)</f>
        <v/>
      </c>
      <c r="V1323" s="1" t="n">
        <v>463</v>
      </c>
      <c r="Y1323" s="1" t="inlineStr">
        <is>
          <t>Диавола</t>
        </is>
      </c>
      <c r="Z1323" s="1" t="inlineStr">
        <is>
          <t>18+</t>
        </is>
      </c>
      <c r="AA1323" s="12" t="n">
        <v>45918</v>
      </c>
      <c r="AB1323" s="1" t="inlineStr">
        <is>
          <t>Художественная литература</t>
        </is>
      </c>
      <c r="AC1323" s="1" t="inlineStr">
        <is>
          <t>Фантастика. Мистика. Ужасы</t>
        </is>
      </c>
      <c r="AD1323" s="1" t="inlineStr">
        <is>
          <t>Мистика. Ужасы</t>
        </is>
      </c>
      <c r="AE1323" s="1" t="inlineStr">
        <is>
          <t>офсетная</t>
        </is>
      </c>
      <c r="AG1323" s="1" t="n">
        <v>11848730</v>
      </c>
      <c r="AI1323" s="1" t="inlineStr">
        <is>
          <t>4901990000</t>
        </is>
      </c>
    </row>
    <row r="1324" customFormat="1" s="1">
      <c r="C1324" s="1" t="inlineStr">
        <is>
          <t xml:space="preserve">11541090            </t>
        </is>
      </c>
      <c r="D1324" s="1" t="inlineStr">
        <is>
          <t>Чердак: готические романы</t>
        </is>
      </c>
      <c r="E1324" s="1" t="inlineStr">
        <is>
          <t>Дом на болотах. Сомервилл З.</t>
        </is>
      </c>
      <c r="F1324" s="13" t="inlineStr">
        <is>
          <t>См.обл.</t>
        </is>
      </c>
      <c r="G1324" s="1" t="inlineStr">
        <is>
          <t>Сомервилл З.</t>
        </is>
      </c>
      <c r="H1324" s="1" t="inlineStr">
        <is>
          <t>84х108/32</t>
        </is>
      </c>
      <c r="I1324" s="1" t="n">
        <v>432</v>
      </c>
      <c r="J1324" s="1" t="inlineStr">
        <is>
          <t>Дом историй</t>
        </is>
      </c>
      <c r="K1324" s="1" t="inlineStr">
        <is>
          <t>Эвербук</t>
        </is>
      </c>
      <c r="M1324" s="1" t="inlineStr">
        <is>
          <t>2026</t>
        </is>
      </c>
      <c r="N1324" s="1" t="inlineStr">
        <is>
          <t>П</t>
        </is>
      </c>
      <c r="O1324" s="9" t="n">
        <v>10</v>
      </c>
      <c r="P1324" s="1">
        <f>ROUNDUP(1250*(1-$F$3),2)</f>
        <v/>
      </c>
      <c r="Q1324" s="1" t="inlineStr">
        <is>
          <t> </t>
        </is>
      </c>
      <c r="R1324" s="1" t="inlineStr">
        <is>
          <t>978-5-0058-0217-0</t>
        </is>
      </c>
      <c r="S1324" s="1" t="inlineStr">
        <is>
          <t>9785005802170</t>
        </is>
      </c>
      <c r="T1324" s="9" t="n">
        <v>10</v>
      </c>
      <c r="U1324" s="1">
        <f>ROUNDUP(1136.36*(1-$F$3),2)</f>
        <v/>
      </c>
      <c r="V1324" s="1" t="n">
        <v>465</v>
      </c>
      <c r="Y1324" s="1" t="inlineStr">
        <is>
          <t>Дом на болотах</t>
        </is>
      </c>
      <c r="Z1324" s="1" t="inlineStr">
        <is>
          <t>16+</t>
        </is>
      </c>
      <c r="AA1324" s="12" t="n">
        <v>45603</v>
      </c>
      <c r="AB1324" s="1" t="inlineStr">
        <is>
          <t>Художественная литература</t>
        </is>
      </c>
      <c r="AC1324" s="1" t="inlineStr">
        <is>
          <t>Фантастика. Мистика. Ужасы</t>
        </is>
      </c>
      <c r="AD1324" s="1" t="inlineStr">
        <is>
          <t>Мистика. Ужасы</t>
        </is>
      </c>
      <c r="AE1324" s="1" t="inlineStr">
        <is>
          <t>офсетная</t>
        </is>
      </c>
      <c r="AG1324" s="1" t="n">
        <v>11541090</v>
      </c>
      <c r="AI1324" s="1" t="inlineStr">
        <is>
          <t>4901990000</t>
        </is>
      </c>
      <c r="AJ1324" s="1" t="inlineStr">
        <is>
          <t>Зпв</t>
        </is>
      </c>
    </row>
    <row r="1325" customFormat="1" s="1">
      <c r="C1325" s="1" t="inlineStr">
        <is>
          <t xml:space="preserve">11575460            </t>
        </is>
      </c>
      <c r="D1325" s="1" t="inlineStr">
        <is>
          <t>Чердак: готические романы</t>
        </is>
      </c>
      <c r="E1325" s="1" t="inlineStr">
        <is>
          <t>Дом смерти. О'Кэллахан Б.</t>
        </is>
      </c>
      <c r="F1325" s="13" t="inlineStr">
        <is>
          <t>См.обл.</t>
        </is>
      </c>
      <c r="G1325" s="1" t="inlineStr">
        <is>
          <t>О'Кэллахан Б.</t>
        </is>
      </c>
      <c r="H1325" s="1" t="inlineStr">
        <is>
          <t>84х90/32</t>
        </is>
      </c>
      <c r="I1325" s="1" t="n">
        <v>288</v>
      </c>
      <c r="J1325" s="1" t="inlineStr">
        <is>
          <t>Дом историй</t>
        </is>
      </c>
      <c r="K1325" s="1" t="inlineStr">
        <is>
          <t>Эвербук</t>
        </is>
      </c>
      <c r="M1325" s="1" t="inlineStr">
        <is>
          <t>2025</t>
        </is>
      </c>
      <c r="N1325" s="1" t="inlineStr">
        <is>
          <t>П</t>
        </is>
      </c>
      <c r="O1325" s="9" t="n">
        <v>6</v>
      </c>
      <c r="P1325" s="1">
        <f>ROUNDUP(1030*(1-$F$3),2)</f>
        <v/>
      </c>
      <c r="Q1325" s="1" t="inlineStr">
        <is>
          <t> </t>
        </is>
      </c>
      <c r="R1325" s="1" t="inlineStr">
        <is>
          <t>978-5-0058-0379-5</t>
        </is>
      </c>
      <c r="S1325" s="1" t="inlineStr">
        <is>
          <t>9785005803795</t>
        </is>
      </c>
      <c r="T1325" s="9" t="n">
        <v>22</v>
      </c>
      <c r="U1325" s="1">
        <f>ROUNDUP(844.26*(1-$F$3),2)</f>
        <v/>
      </c>
      <c r="V1325" s="1" t="n">
        <v>278</v>
      </c>
      <c r="Y1325" s="1" t="inlineStr">
        <is>
          <t>Дом смерти</t>
        </is>
      </c>
      <c r="Z1325" s="1" t="inlineStr">
        <is>
          <t>18+</t>
        </is>
      </c>
      <c r="AA1325" s="12" t="n">
        <v>45621</v>
      </c>
      <c r="AB1325" s="1" t="inlineStr">
        <is>
          <t>Художественная литература</t>
        </is>
      </c>
      <c r="AC1325" s="1" t="inlineStr">
        <is>
          <t>Фантастика. Мистика. Ужасы</t>
        </is>
      </c>
      <c r="AD1325" s="1" t="inlineStr">
        <is>
          <t>Мистика. Ужасы</t>
        </is>
      </c>
      <c r="AE1325" s="1" t="inlineStr">
        <is>
          <t>офсетная</t>
        </is>
      </c>
      <c r="AG1325" s="1" t="n">
        <v>11575460</v>
      </c>
      <c r="AI1325" s="1" t="inlineStr">
        <is>
          <t>4901990000</t>
        </is>
      </c>
      <c r="AJ1325" s="1" t="inlineStr">
        <is>
          <t>Зпв</t>
        </is>
      </c>
    </row>
    <row r="1326" customFormat="1" s="11">
      <c r="A1326" s="11" t="inlineStr">
        <is>
          <t>нов</t>
        </is>
      </c>
      <c r="C1326" s="11" t="inlineStr">
        <is>
          <t xml:space="preserve">12246030            </t>
        </is>
      </c>
      <c r="D1326" s="11" t="inlineStr">
        <is>
          <t>Чердак: готические романы</t>
        </is>
      </c>
      <c r="E1326" s="11" t="inlineStr">
        <is>
          <t>Лес (кинообложка). Тюльбашева С.</t>
        </is>
      </c>
      <c r="F1326" s="14" t="inlineStr">
        <is>
          <t>См.обл.</t>
        </is>
      </c>
      <c r="G1326" s="11" t="inlineStr">
        <is>
          <t>Тюльбашева С.</t>
        </is>
      </c>
      <c r="H1326" s="11" t="inlineStr">
        <is>
          <t>84х108/32</t>
        </is>
      </c>
      <c r="I1326" s="11" t="n">
        <v>384</v>
      </c>
      <c r="J1326" s="11" t="inlineStr">
        <is>
          <t>Дом историй</t>
        </is>
      </c>
      <c r="K1326" s="11" t="inlineStr">
        <is>
          <t>Эвербук</t>
        </is>
      </c>
      <c r="M1326" s="11" t="inlineStr">
        <is>
          <t>2026</t>
        </is>
      </c>
      <c r="N1326" s="11" t="inlineStr">
        <is>
          <t>П</t>
        </is>
      </c>
      <c r="O1326" s="26" t="n">
        <v>10</v>
      </c>
      <c r="P1326" s="11">
        <f>ROUNDUP(990*(1-$F$3),2)</f>
        <v/>
      </c>
      <c r="Q1326" s="11" t="inlineStr">
        <is>
          <t> </t>
        </is>
      </c>
      <c r="R1326" s="11" t="inlineStr">
        <is>
          <t>978-5-0058-1192-9</t>
        </is>
      </c>
      <c r="S1326" s="11" t="inlineStr">
        <is>
          <t>9785005811929</t>
        </is>
      </c>
      <c r="T1326" s="26" t="n">
        <v>10</v>
      </c>
      <c r="U1326" s="11">
        <f>ROUNDUP(900*(1-$F$3),2)</f>
        <v/>
      </c>
      <c r="V1326" s="11" t="n">
        <v>419</v>
      </c>
      <c r="Y1326" s="11" t="inlineStr">
        <is>
          <t>Лес (кинообложка)</t>
        </is>
      </c>
      <c r="Z1326" s="11" t="inlineStr">
        <is>
          <t>16+</t>
        </is>
      </c>
      <c r="AA1326" s="15" t="n">
        <v>46266</v>
      </c>
      <c r="AB1326" s="11" t="inlineStr">
        <is>
          <t>Художественная литература</t>
        </is>
      </c>
      <c r="AC1326" s="11" t="inlineStr">
        <is>
          <t>Фантастика. Мистика. Ужасы</t>
        </is>
      </c>
      <c r="AD1326" s="11" t="inlineStr">
        <is>
          <t>Мистика. Ужасы</t>
        </is>
      </c>
      <c r="AE1326" s="11" t="inlineStr">
        <is>
          <t>офсетная</t>
        </is>
      </c>
      <c r="AG1326" s="11" t="n">
        <v>12246030</v>
      </c>
      <c r="AI1326" s="11" t="inlineStr">
        <is>
          <t>4901990000</t>
        </is>
      </c>
    </row>
    <row r="1327" customFormat="1" s="1">
      <c r="C1327" s="1" t="inlineStr">
        <is>
          <t xml:space="preserve">11541130            </t>
        </is>
      </c>
      <c r="D1327" s="1" t="inlineStr">
        <is>
          <t>Чердак: готические романы</t>
        </is>
      </c>
      <c r="E1327" s="1" t="inlineStr">
        <is>
          <t>Лес. Тюльбашева С.</t>
        </is>
      </c>
      <c r="F1327" s="13" t="inlineStr">
        <is>
          <t>См.обл.</t>
        </is>
      </c>
      <c r="G1327" s="1" t="inlineStr">
        <is>
          <t>Тюльбашева С.</t>
        </is>
      </c>
      <c r="H1327" s="1" t="inlineStr">
        <is>
          <t>84х108/32</t>
        </is>
      </c>
      <c r="I1327" s="1" t="n">
        <v>384</v>
      </c>
      <c r="J1327" s="1" t="inlineStr">
        <is>
          <t>Дом историй</t>
        </is>
      </c>
      <c r="K1327" s="1" t="inlineStr">
        <is>
          <t>Эвербук</t>
        </is>
      </c>
      <c r="M1327" s="1" t="inlineStr">
        <is>
          <t>2026</t>
        </is>
      </c>
      <c r="N1327" s="1" t="inlineStr">
        <is>
          <t>П</t>
        </is>
      </c>
      <c r="O1327" s="9" t="n">
        <v>14</v>
      </c>
      <c r="P1327" s="1">
        <f>ROUNDUP(910*(1-$F$3),2)</f>
        <v/>
      </c>
      <c r="Q1327" s="1" t="inlineStr">
        <is>
          <t> </t>
        </is>
      </c>
      <c r="R1327" s="1" t="inlineStr">
        <is>
          <t>978-5-0058-0353-5</t>
        </is>
      </c>
      <c r="S1327" s="1" t="inlineStr">
        <is>
          <t>9785005803535</t>
        </is>
      </c>
      <c r="T1327" s="9" t="n">
        <v>10</v>
      </c>
      <c r="U1327" s="1">
        <f>ROUNDUP(827.27*(1-$F$3),2)</f>
        <v/>
      </c>
      <c r="V1327" s="1" t="n">
        <v>419</v>
      </c>
      <c r="Y1327" s="1" t="inlineStr">
        <is>
          <t>Лес</t>
        </is>
      </c>
      <c r="Z1327" s="1" t="inlineStr">
        <is>
          <t>16+</t>
        </is>
      </c>
      <c r="AA1327" s="12" t="n">
        <v>45603</v>
      </c>
      <c r="AB1327" s="1" t="inlineStr">
        <is>
          <t>Художественная литература</t>
        </is>
      </c>
      <c r="AC1327" s="1" t="inlineStr">
        <is>
          <t>Фантастика. Мистика. Ужасы</t>
        </is>
      </c>
      <c r="AD1327" s="1" t="inlineStr">
        <is>
          <t>Мистика. Ужасы</t>
        </is>
      </c>
      <c r="AE1327" s="1" t="inlineStr">
        <is>
          <t>офсетная</t>
        </is>
      </c>
      <c r="AG1327" s="1" t="n">
        <v>11541130</v>
      </c>
      <c r="AI1327" s="1" t="inlineStr">
        <is>
          <t>4901990000</t>
        </is>
      </c>
    </row>
    <row r="1328" customFormat="1" s="1">
      <c r="C1328" s="1" t="inlineStr">
        <is>
          <t xml:space="preserve">11541070            </t>
        </is>
      </c>
      <c r="D1328" s="1" t="inlineStr">
        <is>
          <t>Чердак: готические романы</t>
        </is>
      </c>
      <c r="E1328" s="1" t="inlineStr">
        <is>
          <t>Лют. Торн Дж.</t>
        </is>
      </c>
      <c r="F1328" s="13" t="inlineStr">
        <is>
          <t>См.обл.</t>
        </is>
      </c>
      <c r="G1328" s="1" t="inlineStr">
        <is>
          <t>Торн Дж.</t>
        </is>
      </c>
      <c r="H1328" s="1" t="inlineStr">
        <is>
          <t>84х108/32</t>
        </is>
      </c>
      <c r="I1328" s="1" t="n">
        <v>416</v>
      </c>
      <c r="J1328" s="1" t="inlineStr">
        <is>
          <t>Дом историй</t>
        </is>
      </c>
      <c r="K1328" s="1" t="inlineStr">
        <is>
          <t>Эвербук</t>
        </is>
      </c>
      <c r="M1328" s="1" t="inlineStr">
        <is>
          <t>2024</t>
        </is>
      </c>
      <c r="N1328" s="1" t="inlineStr">
        <is>
          <t>П</t>
        </is>
      </c>
      <c r="O1328" s="9" t="n">
        <v>14</v>
      </c>
      <c r="P1328" s="1">
        <f>ROUNDUP(1320*(1-$F$3),2)</f>
        <v/>
      </c>
      <c r="Q1328" s="1" t="inlineStr">
        <is>
          <t> </t>
        </is>
      </c>
      <c r="R1328" s="1" t="inlineStr">
        <is>
          <t>978-5-0058-0252-1</t>
        </is>
      </c>
      <c r="S1328" s="1" t="inlineStr">
        <is>
          <t>9785005802521</t>
        </is>
      </c>
      <c r="T1328" s="9" t="n">
        <v>10</v>
      </c>
      <c r="U1328" s="1">
        <f>ROUNDUP(1200*(1-$F$3),2)</f>
        <v/>
      </c>
      <c r="V1328" s="1" t="n">
        <v>443</v>
      </c>
      <c r="Y1328" s="1" t="inlineStr">
        <is>
          <t>Лют</t>
        </is>
      </c>
      <c r="Z1328" s="1" t="inlineStr">
        <is>
          <t>16+</t>
        </is>
      </c>
      <c r="AA1328" s="12" t="n">
        <v>45603</v>
      </c>
      <c r="AB1328" s="1" t="inlineStr">
        <is>
          <t>Художественная литература</t>
        </is>
      </c>
      <c r="AC1328" s="1" t="inlineStr">
        <is>
          <t>Фантастика. Мистика. Ужасы</t>
        </is>
      </c>
      <c r="AD1328" s="1" t="inlineStr">
        <is>
          <t>Мистика. Ужасы</t>
        </is>
      </c>
      <c r="AE1328" s="1" t="inlineStr">
        <is>
          <t>офсетная</t>
        </is>
      </c>
      <c r="AG1328" s="1" t="n">
        <v>11541070</v>
      </c>
      <c r="AI1328" s="1" t="inlineStr">
        <is>
          <t>4901990000</t>
        </is>
      </c>
    </row>
    <row r="1329" customFormat="1" s="1">
      <c r="C1329" s="1" t="inlineStr">
        <is>
          <t xml:space="preserve">11575240            </t>
        </is>
      </c>
      <c r="D1329" s="1" t="inlineStr">
        <is>
          <t>Чердак: готические романы</t>
        </is>
      </c>
      <c r="E1329" s="1" t="inlineStr">
        <is>
          <t>Призрак Сомерсет-Парка. Майерс Б.Р.</t>
        </is>
      </c>
      <c r="F1329" s="13" t="inlineStr">
        <is>
          <t>См.обл.</t>
        </is>
      </c>
      <c r="G1329" s="1" t="inlineStr">
        <is>
          <t>Майерс Б.Р.</t>
        </is>
      </c>
      <c r="H1329" s="1" t="inlineStr">
        <is>
          <t>84х108/32</t>
        </is>
      </c>
      <c r="I1329" s="1" t="n">
        <v>480</v>
      </c>
      <c r="J1329" s="1" t="inlineStr">
        <is>
          <t>Дом историй</t>
        </is>
      </c>
      <c r="K1329" s="1" t="inlineStr">
        <is>
          <t>Эвербук</t>
        </is>
      </c>
      <c r="M1329" s="1" t="inlineStr">
        <is>
          <t>2026</t>
        </is>
      </c>
      <c r="N1329" s="1" t="inlineStr">
        <is>
          <t>П</t>
        </is>
      </c>
      <c r="O1329" s="9" t="n">
        <v>7</v>
      </c>
      <c r="P1329" s="1">
        <f>ROUNDUP(1400*(1-$F$3),2)</f>
        <v/>
      </c>
      <c r="Q1329" s="1" t="inlineStr">
        <is>
          <t> </t>
        </is>
      </c>
      <c r="R1329" s="1" t="inlineStr">
        <is>
          <t>978-5-0058-0623-9</t>
        </is>
      </c>
      <c r="S1329" s="1" t="inlineStr">
        <is>
          <t>9785005806239</t>
        </is>
      </c>
      <c r="T1329" s="9" t="n">
        <v>10</v>
      </c>
      <c r="U1329" s="1">
        <f>ROUNDUP(1272.73*(1-$F$3),2)</f>
        <v/>
      </c>
      <c r="V1329" s="1" t="n">
        <v>504</v>
      </c>
      <c r="Y1329" s="1" t="inlineStr">
        <is>
          <t>Призрак Сомерсет-Парка</t>
        </is>
      </c>
      <c r="Z1329" s="1" t="inlineStr">
        <is>
          <t>16+</t>
        </is>
      </c>
      <c r="AA1329" s="12" t="n">
        <v>45620</v>
      </c>
      <c r="AB1329" s="1" t="inlineStr">
        <is>
          <t>Художественная литература</t>
        </is>
      </c>
      <c r="AC1329" s="1" t="inlineStr">
        <is>
          <t>Фантастика. Мистика. Ужасы</t>
        </is>
      </c>
      <c r="AD1329" s="1" t="inlineStr">
        <is>
          <t>Мистика. Ужасы</t>
        </is>
      </c>
      <c r="AE1329" s="1" t="inlineStr">
        <is>
          <t>офсетная</t>
        </is>
      </c>
      <c r="AG1329" s="1" t="n">
        <v>11575240</v>
      </c>
      <c r="AI1329" s="1" t="inlineStr">
        <is>
          <t>4901990000</t>
        </is>
      </c>
      <c r="AJ1329" s="1" t="inlineStr">
        <is>
          <t>Зпв</t>
        </is>
      </c>
    </row>
    <row r="1330" customFormat="1" s="11">
      <c r="A1330" s="11" t="inlineStr">
        <is>
          <t>нов</t>
        </is>
      </c>
      <c r="C1330" s="11" t="inlineStr">
        <is>
          <t xml:space="preserve">12238370            </t>
        </is>
      </c>
      <c r="D1330" s="11" t="inlineStr">
        <is>
          <t>Чердак: готические романы</t>
        </is>
      </c>
      <c r="E1330" s="11" t="inlineStr">
        <is>
          <t>Проклятая земля. Тюльбашева С.</t>
        </is>
      </c>
      <c r="F1330" s="14" t="inlineStr">
        <is>
          <t>См.обл.</t>
        </is>
      </c>
      <c r="G1330" s="11" t="inlineStr">
        <is>
          <t>Тюльбашева С.</t>
        </is>
      </c>
      <c r="H1330" s="11" t="inlineStr">
        <is>
          <t>84х108/32</t>
        </is>
      </c>
      <c r="I1330" s="11" t="n">
        <v>560</v>
      </c>
      <c r="J1330" s="11" t="inlineStr">
        <is>
          <t>Дом историй</t>
        </is>
      </c>
      <c r="K1330" s="11" t="inlineStr">
        <is>
          <t>Эвербук</t>
        </is>
      </c>
      <c r="M1330" s="11" t="inlineStr">
        <is>
          <t>2026</t>
        </is>
      </c>
      <c r="N1330" s="11" t="inlineStr">
        <is>
          <t>П</t>
        </is>
      </c>
      <c r="O1330" s="26" t="n">
        <v>8</v>
      </c>
      <c r="P1330" s="11">
        <f>ROUNDUP(1290*(1-$F$3),2)</f>
        <v/>
      </c>
      <c r="Q1330" s="11" t="inlineStr">
        <is>
          <t> </t>
        </is>
      </c>
      <c r="R1330" s="11" t="inlineStr">
        <is>
          <t>978-5-0058-1188-2</t>
        </is>
      </c>
      <c r="S1330" s="11" t="inlineStr">
        <is>
          <t>9785005811882</t>
        </is>
      </c>
      <c r="T1330" s="26" t="n">
        <v>22</v>
      </c>
      <c r="U1330" s="11">
        <f>ROUNDUP(1057.38*(1-$F$3),2)</f>
        <v/>
      </c>
      <c r="V1330" s="11" t="n">
        <v>574</v>
      </c>
      <c r="Y1330" s="11" t="inlineStr">
        <is>
          <t>Проклятая земля</t>
        </is>
      </c>
      <c r="Z1330" s="11" t="inlineStr">
        <is>
          <t>18+</t>
        </is>
      </c>
      <c r="AA1330" s="15" t="n">
        <v>46265</v>
      </c>
      <c r="AB1330" s="11" t="inlineStr">
        <is>
          <t>Художественная литература</t>
        </is>
      </c>
      <c r="AC1330" s="11" t="inlineStr">
        <is>
          <t>Детективы. Боевики. Триллеры</t>
        </is>
      </c>
      <c r="AD1330" s="11" t="inlineStr">
        <is>
          <t>Триллеры</t>
        </is>
      </c>
      <c r="AE1330" s="11" t="inlineStr">
        <is>
          <t>офсетная</t>
        </is>
      </c>
      <c r="AG1330" s="11" t="n">
        <v>12238370</v>
      </c>
      <c r="AI1330" s="11" t="inlineStr">
        <is>
          <t>4901990000</t>
        </is>
      </c>
    </row>
    <row r="1331" customFormat="1" s="1">
      <c r="C1331" s="1" t="inlineStr">
        <is>
          <t xml:space="preserve">12067440            </t>
        </is>
      </c>
      <c r="D1331" s="1" t="inlineStr">
        <is>
          <t>Чердак: готические романы</t>
        </is>
      </c>
      <c r="E1331" s="1" t="inlineStr">
        <is>
          <t>Словно мы злодеи. Рио М.Л.</t>
        </is>
      </c>
      <c r="F1331" s="13" t="inlineStr">
        <is>
          <t>См.обл.</t>
        </is>
      </c>
      <c r="G1331" s="1" t="inlineStr">
        <is>
          <t>Рио М.Л.</t>
        </is>
      </c>
      <c r="H1331" s="1" t="inlineStr">
        <is>
          <t>60х90/16</t>
        </is>
      </c>
      <c r="I1331" s="1" t="n">
        <v>528</v>
      </c>
      <c r="J1331" s="1" t="inlineStr">
        <is>
          <t>Дом историй</t>
        </is>
      </c>
      <c r="K1331" s="1" t="inlineStr">
        <is>
          <t>Эвербук</t>
        </is>
      </c>
      <c r="M1331" s="1" t="inlineStr">
        <is>
          <t>2026</t>
        </is>
      </c>
      <c r="N1331" s="1" t="inlineStr">
        <is>
          <t>П</t>
        </is>
      </c>
      <c r="O1331" s="9" t="n">
        <v>10</v>
      </c>
      <c r="P1331" s="1">
        <f>ROUNDUP(1450*(1-$F$3),2)</f>
        <v/>
      </c>
      <c r="Q1331" s="1" t="inlineStr">
        <is>
          <t> </t>
        </is>
      </c>
      <c r="R1331" s="1" t="inlineStr">
        <is>
          <t>978-5-0058-1075-5</t>
        </is>
      </c>
      <c r="S1331" s="1" t="inlineStr">
        <is>
          <t>9785005810755</t>
        </is>
      </c>
      <c r="T1331" s="9" t="n">
        <v>22</v>
      </c>
      <c r="U1331" s="1">
        <f>ROUNDUP(1188.52*(1-$F$3),2)</f>
        <v/>
      </c>
      <c r="V1331" s="1" t="n">
        <v>617</v>
      </c>
      <c r="Y1331" s="1" t="inlineStr">
        <is>
          <t>Словно мы злодеи</t>
        </is>
      </c>
      <c r="Z1331" s="1" t="inlineStr">
        <is>
          <t>18+</t>
        </is>
      </c>
      <c r="AA1331" s="12" t="n">
        <v>46123</v>
      </c>
      <c r="AB1331" s="1" t="inlineStr">
        <is>
          <t>Художественная литература</t>
        </is>
      </c>
      <c r="AC1331" s="1" t="inlineStr">
        <is>
          <t>Детективы. Боевики. Триллеры</t>
        </is>
      </c>
      <c r="AD1331" s="1" t="inlineStr">
        <is>
          <t>Триллеры</t>
        </is>
      </c>
      <c r="AE1331" s="1" t="inlineStr">
        <is>
          <t>офсетная</t>
        </is>
      </c>
      <c r="AG1331" s="1" t="n">
        <v>12067440</v>
      </c>
      <c r="AI1331" s="1" t="inlineStr">
        <is>
          <t>4901990000</t>
        </is>
      </c>
      <c r="AJ1331" s="1" t="inlineStr">
        <is>
          <t>Зпв</t>
        </is>
      </c>
    </row>
    <row r="1332" customFormat="1" s="1">
      <c r="C1332" s="1" t="inlineStr">
        <is>
          <t xml:space="preserve">12228320            </t>
        </is>
      </c>
      <c r="D1332" s="1" t="inlineStr">
        <is>
          <t>Чердак: готические романы</t>
        </is>
      </c>
      <c r="E1332" s="1" t="inlineStr">
        <is>
          <t>Ужасы поместья Хаглин. Касезьян М.Р.С.</t>
        </is>
      </c>
      <c r="F1332" s="13" t="inlineStr">
        <is>
          <t>См.обл.</t>
        </is>
      </c>
      <c r="G1332" s="1" t="inlineStr">
        <is>
          <t>Касезьян М.Р.С.</t>
        </is>
      </c>
      <c r="H1332" s="1" t="inlineStr">
        <is>
          <t>84х108/32</t>
        </is>
      </c>
      <c r="I1332" s="1" t="n">
        <v>640</v>
      </c>
      <c r="J1332" s="1" t="inlineStr">
        <is>
          <t>Дом историй</t>
        </is>
      </c>
      <c r="K1332" s="1" t="inlineStr">
        <is>
          <t>Эвербук</t>
        </is>
      </c>
      <c r="M1332" s="1" t="inlineStr">
        <is>
          <t>2026</t>
        </is>
      </c>
      <c r="N1332" s="1" t="inlineStr">
        <is>
          <t>П</t>
        </is>
      </c>
      <c r="O1332" s="9" t="n">
        <v>6</v>
      </c>
      <c r="P1332" s="1">
        <f>ROUNDUP(1190*(1-$F$3),2)</f>
        <v/>
      </c>
      <c r="Q1332" s="1" t="inlineStr">
        <is>
          <t> </t>
        </is>
      </c>
      <c r="R1332" s="1" t="inlineStr">
        <is>
          <t>978-5-0058-0974-2</t>
        </is>
      </c>
      <c r="S1332" s="1" t="inlineStr">
        <is>
          <t>9785005809742</t>
        </is>
      </c>
      <c r="T1332" s="9" t="n">
        <v>22</v>
      </c>
      <c r="U1332" s="1">
        <f>ROUNDUP(975.41*(1-$F$3),2)</f>
        <v/>
      </c>
      <c r="V1332" s="1" t="n">
        <v>641</v>
      </c>
      <c r="Y1332" s="1" t="inlineStr">
        <is>
          <t>Ужасы поместья Хаглин</t>
        </is>
      </c>
      <c r="Z1332" s="1" t="inlineStr">
        <is>
          <t>18+</t>
        </is>
      </c>
      <c r="AA1332" s="12" t="n">
        <v>46237</v>
      </c>
      <c r="AB1332" s="1" t="inlineStr">
        <is>
          <t>Художественная литература</t>
        </is>
      </c>
      <c r="AC1332" s="1" t="inlineStr">
        <is>
          <t>Фантастика. Мистика. Ужасы</t>
        </is>
      </c>
      <c r="AD1332" s="1" t="inlineStr">
        <is>
          <t>Мистика. Ужасы</t>
        </is>
      </c>
      <c r="AE1332" s="1" t="inlineStr">
        <is>
          <t>офсетная</t>
        </is>
      </c>
      <c r="AG1332" s="1" t="n">
        <v>12228320</v>
      </c>
      <c r="AI1332" s="1" t="inlineStr">
        <is>
          <t>4901990000</t>
        </is>
      </c>
      <c r="AJ1332" s="1" t="inlineStr">
        <is>
          <t>Зпв</t>
        </is>
      </c>
    </row>
    <row r="1333" customFormat="1" s="1">
      <c r="C1333" s="1" t="inlineStr">
        <is>
          <t xml:space="preserve">11541120            </t>
        </is>
      </c>
      <c r="D1333" s="1" t="inlineStr">
        <is>
          <t>Чердак: готические романы</t>
        </is>
      </c>
      <c r="E1333" s="1" t="inlineStr">
        <is>
          <t>Экземпляр. Купор Ю.</t>
        </is>
      </c>
      <c r="F1333" s="13" t="inlineStr">
        <is>
          <t>См.обл.</t>
        </is>
      </c>
      <c r="G1333" s="1" t="inlineStr">
        <is>
          <t>Купор Ю.</t>
        </is>
      </c>
      <c r="H1333" s="1" t="inlineStr">
        <is>
          <t>70х100/16</t>
        </is>
      </c>
      <c r="I1333" s="1" t="n">
        <v>432</v>
      </c>
      <c r="J1333" s="1" t="inlineStr">
        <is>
          <t>Дом историй</t>
        </is>
      </c>
      <c r="K1333" s="1" t="inlineStr">
        <is>
          <t>Эвербук</t>
        </is>
      </c>
      <c r="M1333" s="1" t="inlineStr">
        <is>
          <t>2024</t>
        </is>
      </c>
      <c r="N1333" s="1" t="inlineStr">
        <is>
          <t>П</t>
        </is>
      </c>
      <c r="O1333" s="9" t="n">
        <v>7</v>
      </c>
      <c r="P1333" s="1">
        <f>ROUNDUP(1570*(1-$F$3),2)</f>
        <v/>
      </c>
      <c r="Q1333" s="1" t="inlineStr">
        <is>
          <t> </t>
        </is>
      </c>
      <c r="R1333" s="1" t="inlineStr">
        <is>
          <t>978-5-0058-0258-3</t>
        </is>
      </c>
      <c r="S1333" s="1" t="inlineStr">
        <is>
          <t>9785005802583</t>
        </is>
      </c>
      <c r="T1333" s="9" t="n">
        <v>22</v>
      </c>
      <c r="U1333" s="1">
        <f>ROUNDUP(1286.89*(1-$F$3),2)</f>
        <v/>
      </c>
      <c r="V1333" s="1" t="n">
        <v>683</v>
      </c>
      <c r="Y1333" s="1" t="inlineStr">
        <is>
          <t>Экземпляр</t>
        </is>
      </c>
      <c r="Z1333" s="1" t="inlineStr">
        <is>
          <t>18+</t>
        </is>
      </c>
      <c r="AA1333" s="12" t="n">
        <v>45603</v>
      </c>
      <c r="AB1333" s="1" t="inlineStr">
        <is>
          <t>Художественная литература</t>
        </is>
      </c>
      <c r="AC1333" s="1" t="inlineStr">
        <is>
          <t>Фантастика. Мистика. Ужасы</t>
        </is>
      </c>
      <c r="AD1333" s="1" t="inlineStr">
        <is>
          <t>Мистика. Ужасы</t>
        </is>
      </c>
      <c r="AE1333" s="1" t="inlineStr">
        <is>
          <t>офсетная</t>
        </is>
      </c>
      <c r="AG1333" s="1" t="n">
        <v>11541120</v>
      </c>
      <c r="AI1333" s="1" t="inlineStr">
        <is>
          <t>4901990000</t>
        </is>
      </c>
      <c r="AJ1333" s="1" t="inlineStr">
        <is>
          <t>Зпв</t>
        </is>
      </c>
    </row>
    <row r="1334" customFormat="1" s="11">
      <c r="A1334" s="11" t="inlineStr">
        <is>
          <t>нов</t>
        </is>
      </c>
      <c r="C1334" s="11" t="inlineStr">
        <is>
          <t xml:space="preserve">12257580            </t>
        </is>
      </c>
      <c r="D1334" s="11" t="inlineStr">
        <is>
          <t>Чулан: страшные тайны</t>
        </is>
      </c>
      <c r="E1334" s="11" t="inlineStr">
        <is>
          <t>Багровое озеро. Фокс К</t>
        </is>
      </c>
      <c r="F1334" s="14" t="inlineStr">
        <is>
          <t>См.обл.</t>
        </is>
      </c>
      <c r="G1334" s="11" t="inlineStr">
        <is>
          <t>Фокс К</t>
        </is>
      </c>
      <c r="H1334" s="11" t="inlineStr">
        <is>
          <t>84х108/32</t>
        </is>
      </c>
      <c r="I1334" s="11" t="n">
        <v>464</v>
      </c>
      <c r="J1334" s="11" t="inlineStr">
        <is>
          <t>Дом историй</t>
        </is>
      </c>
      <c r="K1334" s="11" t="inlineStr">
        <is>
          <t>Эвербук</t>
        </is>
      </c>
      <c r="M1334" s="11" t="inlineStr">
        <is>
          <t>2026</t>
        </is>
      </c>
      <c r="N1334" s="11" t="inlineStr">
        <is>
          <t>П</t>
        </is>
      </c>
      <c r="O1334" s="26" t="n">
        <v>8</v>
      </c>
      <c r="P1334" s="11">
        <f>ROUNDUP(1100*(1-$F$3),2)</f>
        <v/>
      </c>
      <c r="Q1334" s="11" t="inlineStr">
        <is>
          <t> </t>
        </is>
      </c>
      <c r="R1334" s="11" t="inlineStr">
        <is>
          <t>978-5-0058-1146-2</t>
        </is>
      </c>
      <c r="S1334" s="11" t="inlineStr">
        <is>
          <t>9785005811462</t>
        </is>
      </c>
      <c r="T1334" s="26" t="n">
        <v>22</v>
      </c>
      <c r="U1334" s="11">
        <f>ROUNDUP(901.64*(1-$F$3),2)</f>
        <v/>
      </c>
      <c r="V1334" s="11" t="n">
        <v>491</v>
      </c>
      <c r="Y1334" s="11" t="inlineStr">
        <is>
          <t>Багровое озеро</t>
        </is>
      </c>
      <c r="Z1334" s="11" t="inlineStr">
        <is>
          <t>18+</t>
        </is>
      </c>
      <c r="AA1334" s="15" t="n">
        <v>46268</v>
      </c>
      <c r="AB1334" s="11" t="inlineStr">
        <is>
          <t>Художественная литература</t>
        </is>
      </c>
      <c r="AC1334" s="11" t="inlineStr">
        <is>
          <t>Детективы. Боевики. Триллеры</t>
        </is>
      </c>
      <c r="AD1334" s="11" t="inlineStr">
        <is>
          <t>Зарубежный детектив</t>
        </is>
      </c>
      <c r="AE1334" s="11" t="inlineStr">
        <is>
          <t>офсетная</t>
        </is>
      </c>
      <c r="AG1334" s="11" t="n">
        <v>12257580</v>
      </c>
      <c r="AI1334" s="11" t="inlineStr">
        <is>
          <t>4901990000</t>
        </is>
      </c>
      <c r="AJ1334" s="11" t="inlineStr">
        <is>
          <t>Зпв</t>
        </is>
      </c>
    </row>
    <row r="1335" customFormat="1" s="1">
      <c r="C1335" s="1" t="inlineStr">
        <is>
          <t xml:space="preserve">11865800            </t>
        </is>
      </c>
      <c r="D1335" s="1" t="inlineStr">
        <is>
          <t>Чулан: страшные тайны</t>
        </is>
      </c>
      <c r="E1335" s="1" t="inlineStr">
        <is>
          <t>Все, кто мог простить меня, мертвы. Холландер Д.</t>
        </is>
      </c>
      <c r="F1335" s="13" t="inlineStr">
        <is>
          <t>См.обл.</t>
        </is>
      </c>
      <c r="G1335" s="1" t="inlineStr">
        <is>
          <t>Холландер Д.</t>
        </is>
      </c>
      <c r="H1335" s="1" t="inlineStr">
        <is>
          <t>84х108/32</t>
        </is>
      </c>
      <c r="I1335" s="1" t="n">
        <v>352</v>
      </c>
      <c r="J1335" s="1" t="inlineStr">
        <is>
          <t>Дом историй</t>
        </is>
      </c>
      <c r="K1335" s="1" t="inlineStr">
        <is>
          <t>Эвербук</t>
        </is>
      </c>
      <c r="M1335" s="1" t="inlineStr">
        <is>
          <t>2025</t>
        </is>
      </c>
      <c r="N1335" s="1" t="inlineStr">
        <is>
          <t>О</t>
        </is>
      </c>
      <c r="O1335" s="9" t="n">
        <v>12</v>
      </c>
      <c r="P1335" s="1">
        <f>ROUNDUP(840*(1-$F$3),2)</f>
        <v/>
      </c>
      <c r="Q1335" s="1" t="inlineStr">
        <is>
          <t> </t>
        </is>
      </c>
      <c r="R1335" s="1" t="inlineStr">
        <is>
          <t>978-5-0058-0876-9</t>
        </is>
      </c>
      <c r="S1335" s="1" t="inlineStr">
        <is>
          <t>9785005808769</t>
        </is>
      </c>
      <c r="T1335" s="9" t="n">
        <v>22</v>
      </c>
      <c r="U1335" s="1">
        <f>ROUNDUP(688.52*(1-$F$3),2)</f>
        <v/>
      </c>
      <c r="V1335" s="1" t="n">
        <v>274</v>
      </c>
      <c r="Y1335" s="1" t="inlineStr">
        <is>
          <t>Все, кто мог простить меня, мертвы</t>
        </is>
      </c>
      <c r="Z1335" s="1" t="inlineStr">
        <is>
          <t>18+</t>
        </is>
      </c>
      <c r="AA1335" s="12" t="n">
        <v>45918</v>
      </c>
      <c r="AB1335" s="1" t="inlineStr">
        <is>
          <t>Художественная литература</t>
        </is>
      </c>
      <c r="AC1335" s="1" t="inlineStr">
        <is>
          <t>Детективы. Боевики. Триллеры</t>
        </is>
      </c>
      <c r="AD1335" s="1" t="inlineStr">
        <is>
          <t>Триллеры</t>
        </is>
      </c>
      <c r="AE1335" s="1" t="inlineStr">
        <is>
          <t>офсетная</t>
        </is>
      </c>
      <c r="AG1335" s="1" t="n">
        <v>11865800</v>
      </c>
      <c r="AI1335" s="1" t="inlineStr">
        <is>
          <t>4901990000</t>
        </is>
      </c>
      <c r="AJ1335" s="1" t="inlineStr">
        <is>
          <t>Зпв</t>
        </is>
      </c>
    </row>
    <row r="1336" customFormat="1" s="1">
      <c r="C1336" s="1" t="inlineStr">
        <is>
          <t xml:space="preserve">11856820            </t>
        </is>
      </c>
      <c r="D1336" s="1" t="inlineStr">
        <is>
          <t>Чулан: страшные тайны</t>
        </is>
      </c>
      <c r="E1336" s="1" t="inlineStr">
        <is>
          <t>Кровавый гороскоп. Бишоп Э</t>
        </is>
      </c>
      <c r="F1336" s="13" t="inlineStr">
        <is>
          <t>См.обл.</t>
        </is>
      </c>
      <c r="G1336" s="1" t="inlineStr">
        <is>
          <t>Бишоп Э</t>
        </is>
      </c>
      <c r="H1336" s="1" t="inlineStr">
        <is>
          <t>84х108/32</t>
        </is>
      </c>
      <c r="I1336" s="1" t="n">
        <v>320</v>
      </c>
      <c r="J1336" s="1" t="inlineStr">
        <is>
          <t>Дом историй</t>
        </is>
      </c>
      <c r="K1336" s="1" t="inlineStr">
        <is>
          <t>Эвербук</t>
        </is>
      </c>
      <c r="M1336" s="1" t="inlineStr">
        <is>
          <t>2025</t>
        </is>
      </c>
      <c r="N1336" s="1" t="inlineStr">
        <is>
          <t>П</t>
        </is>
      </c>
      <c r="O1336" s="9" t="n">
        <v>14</v>
      </c>
      <c r="P1336" s="1">
        <f>ROUNDUP(790*(1-$F$3),2)</f>
        <v/>
      </c>
      <c r="Q1336" s="1" t="inlineStr">
        <is>
          <t> </t>
        </is>
      </c>
      <c r="R1336" s="1" t="inlineStr">
        <is>
          <t>978-5-0058-0927-8</t>
        </is>
      </c>
      <c r="S1336" s="1" t="inlineStr">
        <is>
          <t>9785005809278</t>
        </is>
      </c>
      <c r="T1336" s="9" t="n">
        <v>22</v>
      </c>
      <c r="U1336" s="1">
        <f>ROUNDUP(647.54*(1-$F$3),2)</f>
        <v/>
      </c>
      <c r="V1336" s="1" t="n">
        <v>338</v>
      </c>
      <c r="Y1336" s="1" t="inlineStr">
        <is>
          <t>Кровавый гороскоп</t>
        </is>
      </c>
      <c r="Z1336" s="1" t="inlineStr">
        <is>
          <t>18+</t>
        </is>
      </c>
      <c r="AA1336" s="12" t="n">
        <v>45901</v>
      </c>
      <c r="AB1336" s="1" t="inlineStr">
        <is>
          <t>Художественная литература</t>
        </is>
      </c>
      <c r="AC1336" s="1" t="inlineStr">
        <is>
          <t>Детективы. Боевики. Триллеры</t>
        </is>
      </c>
      <c r="AD1336" s="1" t="inlineStr">
        <is>
          <t>Зарубежный детектив</t>
        </is>
      </c>
      <c r="AE1336" s="1" t="inlineStr">
        <is>
          <t>офсетная</t>
        </is>
      </c>
      <c r="AG1336" s="1" t="n">
        <v>11856820</v>
      </c>
      <c r="AI1336" s="1" t="inlineStr">
        <is>
          <t>4901990000</t>
        </is>
      </c>
      <c r="AJ1336" s="1" t="inlineStr">
        <is>
          <t>Зпв</t>
        </is>
      </c>
    </row>
    <row r="1337" customFormat="1" s="1">
      <c r="C1337" s="1" t="inlineStr">
        <is>
          <t xml:space="preserve">11541350            </t>
        </is>
      </c>
      <c r="D1337" s="1" t="inlineStr">
        <is>
          <t>Чулан: страшные тайны</t>
        </is>
      </c>
      <c r="E1337" s="1" t="inlineStr">
        <is>
          <t>Остров пропавших девушек. Марвуд А.</t>
        </is>
      </c>
      <c r="F1337" s="13" t="inlineStr">
        <is>
          <t>См.обл.</t>
        </is>
      </c>
      <c r="G1337" s="1" t="inlineStr">
        <is>
          <t>Марвуд А.</t>
        </is>
      </c>
      <c r="H1337" s="1" t="inlineStr">
        <is>
          <t>84х108/32</t>
        </is>
      </c>
      <c r="I1337" s="1" t="n">
        <v>432</v>
      </c>
      <c r="J1337" s="1" t="inlineStr">
        <is>
          <t>Дом историй</t>
        </is>
      </c>
      <c r="K1337" s="1" t="inlineStr">
        <is>
          <t>Эвербук</t>
        </is>
      </c>
      <c r="M1337" s="1" t="inlineStr">
        <is>
          <t>2024</t>
        </is>
      </c>
      <c r="N1337" s="1" t="inlineStr">
        <is>
          <t>О</t>
        </is>
      </c>
      <c r="O1337" s="9" t="n">
        <v>10</v>
      </c>
      <c r="P1337" s="1">
        <f>ROUNDUP(880*(1-$F$3),2)</f>
        <v/>
      </c>
      <c r="Q1337" s="1" t="inlineStr">
        <is>
          <t> </t>
        </is>
      </c>
      <c r="R1337" s="1" t="inlineStr">
        <is>
          <t>978-5-0058-0240-8</t>
        </is>
      </c>
      <c r="S1337" s="1" t="inlineStr">
        <is>
          <t>9785005802408</t>
        </is>
      </c>
      <c r="T1337" s="9" t="n">
        <v>22</v>
      </c>
      <c r="U1337" s="1">
        <f>ROUNDUP(721.31*(1-$F$3),2)</f>
        <v/>
      </c>
      <c r="V1337" s="1" t="n">
        <v>331</v>
      </c>
      <c r="Y1337" s="1" t="inlineStr">
        <is>
          <t>Остров пропавших девушек</t>
        </is>
      </c>
      <c r="Z1337" s="1" t="inlineStr">
        <is>
          <t>18+</t>
        </is>
      </c>
      <c r="AA1337" s="12" t="n">
        <v>45603</v>
      </c>
      <c r="AB1337" s="1" t="inlineStr">
        <is>
          <t>Художественная литература</t>
        </is>
      </c>
      <c r="AC1337" s="1" t="inlineStr">
        <is>
          <t>Детективы. Боевики. Триллеры</t>
        </is>
      </c>
      <c r="AD1337" s="1" t="inlineStr">
        <is>
          <t>Триллеры</t>
        </is>
      </c>
      <c r="AE1337" s="1" t="inlineStr">
        <is>
          <t>офсетная</t>
        </is>
      </c>
      <c r="AG1337" s="1" t="n">
        <v>11541350</v>
      </c>
      <c r="AI1337" s="1" t="inlineStr">
        <is>
          <t>4901990000</t>
        </is>
      </c>
      <c r="AJ1337" s="1" t="inlineStr">
        <is>
          <t>Зпв</t>
        </is>
      </c>
    </row>
    <row r="1338" customFormat="1" s="1">
      <c r="C1338" s="1" t="inlineStr">
        <is>
          <t xml:space="preserve">11541380            </t>
        </is>
      </c>
      <c r="D1338" s="1" t="inlineStr">
        <is>
          <t>Чулан: страшные тайны</t>
        </is>
      </c>
      <c r="E1338" s="1" t="inlineStr">
        <is>
          <t>Погружение. Окс С.</t>
        </is>
      </c>
      <c r="F1338" s="13" t="inlineStr">
        <is>
          <t>См.обл.</t>
        </is>
      </c>
      <c r="G1338" s="1" t="inlineStr">
        <is>
          <t>Окс С.</t>
        </is>
      </c>
      <c r="H1338" s="1" t="inlineStr">
        <is>
          <t>84х108/32</t>
        </is>
      </c>
      <c r="I1338" s="1" t="n">
        <v>480</v>
      </c>
      <c r="J1338" s="1" t="inlineStr">
        <is>
          <t>Дом историй</t>
        </is>
      </c>
      <c r="K1338" s="1" t="inlineStr">
        <is>
          <t>Эвербук</t>
        </is>
      </c>
      <c r="M1338" s="1" t="inlineStr">
        <is>
          <t>2024</t>
        </is>
      </c>
      <c r="N1338" s="1" t="inlineStr">
        <is>
          <t>П</t>
        </is>
      </c>
      <c r="O1338" s="9" t="n">
        <v>12</v>
      </c>
      <c r="P1338" s="1">
        <f>ROUNDUP(970*(1-$F$3),2)</f>
        <v/>
      </c>
      <c r="Q1338" s="1" t="inlineStr">
        <is>
          <t> </t>
        </is>
      </c>
      <c r="R1338" s="1" t="inlineStr">
        <is>
          <t>978-5-0058-0465-5</t>
        </is>
      </c>
      <c r="S1338" s="1" t="inlineStr">
        <is>
          <t>9785005804655</t>
        </is>
      </c>
      <c r="T1338" s="9" t="n">
        <v>22</v>
      </c>
      <c r="U1338" s="1">
        <f>ROUNDUP(795.08*(1-$F$3),2)</f>
        <v/>
      </c>
      <c r="V1338" s="1" t="n">
        <v>471</v>
      </c>
      <c r="Y1338" s="1" t="inlineStr">
        <is>
          <t>Погружение</t>
        </is>
      </c>
      <c r="Z1338" s="1" t="inlineStr">
        <is>
          <t>18+</t>
        </is>
      </c>
      <c r="AA1338" s="12" t="n">
        <v>45603</v>
      </c>
      <c r="AB1338" s="1" t="inlineStr">
        <is>
          <t>Художественная литература</t>
        </is>
      </c>
      <c r="AC1338" s="1" t="inlineStr">
        <is>
          <t>Детективы. Боевики. Триллеры</t>
        </is>
      </c>
      <c r="AD1338" s="1" t="inlineStr">
        <is>
          <t>Триллеры</t>
        </is>
      </c>
      <c r="AE1338" s="1" t="inlineStr">
        <is>
          <t>офсетная</t>
        </is>
      </c>
      <c r="AG1338" s="1" t="n">
        <v>11541380</v>
      </c>
      <c r="AI1338" s="1" t="inlineStr">
        <is>
          <t>4901990000</t>
        </is>
      </c>
      <c r="AJ1338" s="1" t="inlineStr">
        <is>
          <t>Зпв</t>
        </is>
      </c>
    </row>
    <row r="1339" customFormat="1" s="1">
      <c r="C1339" s="1" t="inlineStr">
        <is>
          <t xml:space="preserve">12041920            </t>
        </is>
      </c>
      <c r="D1339" s="1" t="inlineStr">
        <is>
          <t>Чулан: страшные тайны</t>
        </is>
      </c>
      <c r="E1339" s="1" t="inlineStr">
        <is>
          <t>Покаяние. Коваль К.</t>
        </is>
      </c>
      <c r="F1339" s="13" t="inlineStr">
        <is>
          <t>См.обл.</t>
        </is>
      </c>
      <c r="G1339" s="1" t="inlineStr">
        <is>
          <t>Коваль К.</t>
        </is>
      </c>
      <c r="H1339" s="1" t="inlineStr">
        <is>
          <t>60х90/16</t>
        </is>
      </c>
      <c r="I1339" s="1" t="n">
        <v>400</v>
      </c>
      <c r="J1339" s="1" t="inlineStr">
        <is>
          <t>Дом историй</t>
        </is>
      </c>
      <c r="K1339" s="1" t="inlineStr">
        <is>
          <t>Эвербук</t>
        </is>
      </c>
      <c r="M1339" s="1" t="inlineStr">
        <is>
          <t>2026</t>
        </is>
      </c>
      <c r="N1339" s="1" t="inlineStr">
        <is>
          <t>П</t>
        </is>
      </c>
      <c r="O1339" s="9" t="n">
        <v>8</v>
      </c>
      <c r="P1339" s="1">
        <f>ROUNDUP(950*(1-$F$3),2)</f>
        <v/>
      </c>
      <c r="Q1339" s="1" t="inlineStr">
        <is>
          <t> </t>
        </is>
      </c>
      <c r="R1339" s="1" t="inlineStr">
        <is>
          <t>978-5-0058-0930-8</t>
        </is>
      </c>
      <c r="S1339" s="1" t="inlineStr">
        <is>
          <t>9785005809308</t>
        </is>
      </c>
      <c r="T1339" s="9" t="n">
        <v>22</v>
      </c>
      <c r="U1339" s="1">
        <f>ROUNDUP(778.69*(1-$F$3),2)</f>
        <v/>
      </c>
      <c r="V1339" s="1" t="n">
        <v>487</v>
      </c>
      <c r="Y1339" s="1" t="inlineStr">
        <is>
          <t>Покаяние</t>
        </is>
      </c>
      <c r="Z1339" s="1" t="inlineStr">
        <is>
          <t>18+</t>
        </is>
      </c>
      <c r="AA1339" s="12" t="n">
        <v>46091</v>
      </c>
      <c r="AB1339" s="1" t="inlineStr">
        <is>
          <t>Художественная литература</t>
        </is>
      </c>
      <c r="AC1339" s="1" t="inlineStr">
        <is>
          <t>Зарубежная литература</t>
        </is>
      </c>
      <c r="AD1339" s="1" t="inlineStr">
        <is>
          <t>Литература Америки и Австралии</t>
        </is>
      </c>
      <c r="AE1339" s="1" t="inlineStr">
        <is>
          <t>офсетная</t>
        </is>
      </c>
      <c r="AG1339" s="1" t="n">
        <v>12041920</v>
      </c>
      <c r="AI1339" s="1" t="inlineStr">
        <is>
          <t>4901990000</t>
        </is>
      </c>
      <c r="AJ1339" s="1" t="inlineStr">
        <is>
          <t>Зпв</t>
        </is>
      </c>
    </row>
    <row r="1340" customFormat="1" s="1">
      <c r="C1340" s="1" t="inlineStr">
        <is>
          <t xml:space="preserve">12106510            </t>
        </is>
      </c>
      <c r="D1340" s="1" t="inlineStr">
        <is>
          <t>Чулан: страшные тайны</t>
        </is>
      </c>
      <c r="E1340" s="1" t="inlineStr">
        <is>
          <t>Последняя спичка. Варей М.</t>
        </is>
      </c>
      <c r="F1340" s="13" t="inlineStr">
        <is>
          <t>См.обл.</t>
        </is>
      </c>
      <c r="G1340" s="1" t="inlineStr">
        <is>
          <t>Варей М.</t>
        </is>
      </c>
      <c r="H1340" s="1" t="inlineStr">
        <is>
          <t>84х108/32</t>
        </is>
      </c>
      <c r="I1340" s="1" t="n">
        <v>320</v>
      </c>
      <c r="J1340" s="1" t="inlineStr">
        <is>
          <t>Дом историй</t>
        </is>
      </c>
      <c r="K1340" s="1" t="inlineStr">
        <is>
          <t>Эвербук</t>
        </is>
      </c>
      <c r="M1340" s="1" t="inlineStr">
        <is>
          <t>2026</t>
        </is>
      </c>
      <c r="N1340" s="1" t="inlineStr">
        <is>
          <t>О</t>
        </is>
      </c>
      <c r="O1340" s="9" t="n">
        <v>10</v>
      </c>
      <c r="P1340" s="1">
        <f>ROUNDUP(630*(1-$F$3),2)</f>
        <v/>
      </c>
      <c r="Q1340" s="1" t="inlineStr">
        <is>
          <t> </t>
        </is>
      </c>
      <c r="R1340" s="1" t="inlineStr">
        <is>
          <t>978-5-0058-1114-1</t>
        </is>
      </c>
      <c r="S1340" s="1" t="inlineStr">
        <is>
          <t>9785005811141</t>
        </is>
      </c>
      <c r="T1340" s="9" t="n">
        <v>10</v>
      </c>
      <c r="U1340" s="1">
        <f>ROUNDUP(572.73*(1-$F$3),2)</f>
        <v/>
      </c>
      <c r="V1340" s="1" t="n">
        <v>241</v>
      </c>
      <c r="Y1340" s="1" t="inlineStr">
        <is>
          <t>Последняя спичка</t>
        </is>
      </c>
      <c r="Z1340" s="1" t="inlineStr">
        <is>
          <t>16+</t>
        </is>
      </c>
      <c r="AA1340" s="12" t="n">
        <v>46156</v>
      </c>
      <c r="AB1340" s="1" t="inlineStr">
        <is>
          <t>Художественная литература</t>
        </is>
      </c>
      <c r="AC1340" s="1" t="inlineStr">
        <is>
          <t>Зарубежная литература</t>
        </is>
      </c>
      <c r="AD1340" s="1" t="inlineStr">
        <is>
          <t>Европейская литература</t>
        </is>
      </c>
      <c r="AE1340" s="1" t="inlineStr">
        <is>
          <t>офсетная</t>
        </is>
      </c>
      <c r="AG1340" s="1" t="n">
        <v>12106510</v>
      </c>
      <c r="AI1340" s="1" t="inlineStr">
        <is>
          <t>4901990000</t>
        </is>
      </c>
    </row>
    <row r="1341" customFormat="1" s="1">
      <c r="C1341" s="1" t="inlineStr">
        <is>
          <t xml:space="preserve">11541310            </t>
        </is>
      </c>
      <c r="D1341" s="1" t="inlineStr">
        <is>
          <t>Чулан: страшные тайны</t>
        </is>
      </c>
      <c r="E1341" s="1" t="inlineStr">
        <is>
          <t>Разочарованные. Варей М.</t>
        </is>
      </c>
      <c r="F1341" s="13" t="inlineStr">
        <is>
          <t>См.обл.</t>
        </is>
      </c>
      <c r="G1341" s="1" t="inlineStr">
        <is>
          <t>Варей М.</t>
        </is>
      </c>
      <c r="H1341" s="1" t="inlineStr">
        <is>
          <t>84х108/32</t>
        </is>
      </c>
      <c r="I1341" s="1" t="n">
        <v>368</v>
      </c>
      <c r="J1341" s="1" t="inlineStr">
        <is>
          <t>Дом историй</t>
        </is>
      </c>
      <c r="K1341" s="1" t="inlineStr">
        <is>
          <t>Эвербук</t>
        </is>
      </c>
      <c r="M1341" s="1" t="inlineStr">
        <is>
          <t>2026</t>
        </is>
      </c>
      <c r="N1341" s="1" t="inlineStr">
        <is>
          <t>О</t>
        </is>
      </c>
      <c r="O1341" s="9" t="n">
        <v>10</v>
      </c>
      <c r="P1341" s="1">
        <f>ROUNDUP(840*(1-$F$3),2)</f>
        <v/>
      </c>
      <c r="Q1341" s="1" t="inlineStr">
        <is>
          <t> </t>
        </is>
      </c>
      <c r="R1341" s="1" t="inlineStr">
        <is>
          <t>978-5-0058-0396-2</t>
        </is>
      </c>
      <c r="S1341" s="1" t="inlineStr">
        <is>
          <t>9785005803962</t>
        </is>
      </c>
      <c r="T1341" s="9" t="n">
        <v>22</v>
      </c>
      <c r="U1341" s="1">
        <f>ROUNDUP(688.52*(1-$F$3),2)</f>
        <v/>
      </c>
      <c r="V1341" s="1" t="n">
        <v>297</v>
      </c>
      <c r="Y1341" s="1" t="inlineStr">
        <is>
          <t>Разочарованные</t>
        </is>
      </c>
      <c r="Z1341" s="1" t="inlineStr">
        <is>
          <t>18+</t>
        </is>
      </c>
      <c r="AA1341" s="12" t="n">
        <v>45603</v>
      </c>
      <c r="AB1341" s="1" t="inlineStr">
        <is>
          <t>Художественная литература</t>
        </is>
      </c>
      <c r="AC1341" s="1" t="inlineStr">
        <is>
          <t>Детективы. Боевики. Триллеры</t>
        </is>
      </c>
      <c r="AD1341" s="1" t="inlineStr">
        <is>
          <t>Триллеры</t>
        </is>
      </c>
      <c r="AE1341" s="1" t="inlineStr">
        <is>
          <t>офсетная</t>
        </is>
      </c>
      <c r="AG1341" s="1" t="n">
        <v>11541310</v>
      </c>
      <c r="AI1341" s="1" t="inlineStr">
        <is>
          <t>4901990000</t>
        </is>
      </c>
      <c r="AJ1341" s="1" t="inlineStr">
        <is>
          <t>Зпв</t>
        </is>
      </c>
    </row>
    <row r="1342" customFormat="1" s="1">
      <c r="C1342" s="1" t="inlineStr">
        <is>
          <t xml:space="preserve">11541270            </t>
        </is>
      </c>
      <c r="D1342" s="1" t="inlineStr">
        <is>
          <t>Чулан: страшные тайны</t>
        </is>
      </c>
      <c r="E1342" s="1" t="inlineStr">
        <is>
          <t>Страшная тайна. Марвуд А.</t>
        </is>
      </c>
      <c r="F1342" s="13" t="inlineStr">
        <is>
          <t>См.обл.</t>
        </is>
      </c>
      <c r="G1342" s="1" t="inlineStr">
        <is>
          <t>Марвуд А.</t>
        </is>
      </c>
      <c r="H1342" s="1" t="inlineStr">
        <is>
          <t>84х108/32</t>
        </is>
      </c>
      <c r="I1342" s="1" t="n">
        <v>448</v>
      </c>
      <c r="J1342" s="1" t="inlineStr">
        <is>
          <t>Дом историй</t>
        </is>
      </c>
      <c r="K1342" s="1" t="inlineStr">
        <is>
          <t>Эвербук</t>
        </is>
      </c>
      <c r="M1342" s="1" t="inlineStr">
        <is>
          <t>2024</t>
        </is>
      </c>
      <c r="N1342" s="1" t="inlineStr">
        <is>
          <t>О</t>
        </is>
      </c>
      <c r="O1342" s="9" t="n">
        <v>10</v>
      </c>
      <c r="P1342" s="1">
        <f>ROUNDUP(840*(1-$F$3),2)</f>
        <v/>
      </c>
      <c r="Q1342" s="1" t="inlineStr">
        <is>
          <t> </t>
        </is>
      </c>
      <c r="R1342" s="1" t="inlineStr">
        <is>
          <t>978-5-0058-0272-9</t>
        </is>
      </c>
      <c r="S1342" s="1" t="inlineStr">
        <is>
          <t>9785005802729</t>
        </is>
      </c>
      <c r="T1342" s="9" t="n">
        <v>10</v>
      </c>
      <c r="U1342" s="1">
        <f>ROUNDUP(763.64*(1-$F$3),2)</f>
        <v/>
      </c>
      <c r="V1342" s="1" t="n">
        <v>339</v>
      </c>
      <c r="Y1342" s="1" t="inlineStr">
        <is>
          <t>Страшная тайна</t>
        </is>
      </c>
      <c r="Z1342" s="1" t="inlineStr">
        <is>
          <t>16+</t>
        </is>
      </c>
      <c r="AA1342" s="12" t="n">
        <v>45603</v>
      </c>
      <c r="AB1342" s="1" t="inlineStr">
        <is>
          <t>Художественная литература</t>
        </is>
      </c>
      <c r="AC1342" s="1" t="inlineStr">
        <is>
          <t>Детективы. Боевики. Триллеры</t>
        </is>
      </c>
      <c r="AD1342" s="1" t="inlineStr">
        <is>
          <t>Триллеры</t>
        </is>
      </c>
      <c r="AE1342" s="1" t="inlineStr">
        <is>
          <t>офсетная</t>
        </is>
      </c>
      <c r="AG1342" s="1" t="n">
        <v>11541270</v>
      </c>
      <c r="AI1342" s="1" t="inlineStr">
        <is>
          <t>4901990000</t>
        </is>
      </c>
      <c r="AJ1342" s="1" t="inlineStr">
        <is>
          <t>Зпв</t>
        </is>
      </c>
    </row>
    <row r="1343" customFormat="1" s="1">
      <c r="C1343" s="1" t="inlineStr">
        <is>
          <t xml:space="preserve">11803810            </t>
        </is>
      </c>
      <c r="D1343" s="1" t="inlineStr">
        <is>
          <t>Чулан: страшные тайны</t>
        </is>
      </c>
      <c r="E1343" s="1" t="inlineStr">
        <is>
          <t>Что скрывает прилив. Крауч С.</t>
        </is>
      </c>
      <c r="F1343" s="13" t="inlineStr">
        <is>
          <t>См.обл.</t>
        </is>
      </c>
      <c r="G1343" s="1" t="inlineStr">
        <is>
          <t>Крауч С.</t>
        </is>
      </c>
      <c r="H1343" s="1" t="inlineStr">
        <is>
          <t>84х108/32</t>
        </is>
      </c>
      <c r="I1343" s="1" t="n">
        <v>384</v>
      </c>
      <c r="J1343" s="1" t="inlineStr">
        <is>
          <t>Дом историй</t>
        </is>
      </c>
      <c r="K1343" s="1" t="inlineStr">
        <is>
          <t>Эвербук</t>
        </is>
      </c>
      <c r="M1343" s="1" t="inlineStr">
        <is>
          <t>2025</t>
        </is>
      </c>
      <c r="N1343" s="1" t="inlineStr">
        <is>
          <t>П</t>
        </is>
      </c>
      <c r="O1343" s="9" t="n">
        <v>8</v>
      </c>
      <c r="P1343" s="1">
        <f>ROUNDUP(1000*(1-$F$3),2)</f>
        <v/>
      </c>
      <c r="Q1343" s="1" t="inlineStr">
        <is>
          <t> </t>
        </is>
      </c>
      <c r="R1343" s="1" t="inlineStr">
        <is>
          <t>978-5-0058-0840-0</t>
        </is>
      </c>
      <c r="S1343" s="1" t="inlineStr">
        <is>
          <t>9785005808400</t>
        </is>
      </c>
      <c r="T1343" s="9" t="n">
        <v>10</v>
      </c>
      <c r="U1343" s="1">
        <f>ROUNDUP(909.09*(1-$F$3),2)</f>
        <v/>
      </c>
      <c r="V1343" s="1" t="n">
        <v>395</v>
      </c>
      <c r="Y1343" s="1" t="inlineStr">
        <is>
          <t>Что скрывает прилив</t>
        </is>
      </c>
      <c r="Z1343" s="1" t="inlineStr">
        <is>
          <t>16+</t>
        </is>
      </c>
      <c r="AA1343" s="12" t="n">
        <v>45875</v>
      </c>
      <c r="AB1343" s="1" t="inlineStr">
        <is>
          <t>Художественная литература</t>
        </is>
      </c>
      <c r="AC1343" s="1" t="inlineStr">
        <is>
          <t>Детективы. Боевики. Триллеры</t>
        </is>
      </c>
      <c r="AD1343" s="1" t="inlineStr">
        <is>
          <t>Зарубежный детектив</t>
        </is>
      </c>
      <c r="AE1343" s="1" t="inlineStr">
        <is>
          <t>офсетная</t>
        </is>
      </c>
      <c r="AG1343" s="1" t="n">
        <v>11803810</v>
      </c>
      <c r="AI1343" s="1" t="inlineStr">
        <is>
          <t>4901990000</t>
        </is>
      </c>
      <c r="AJ1343" s="1" t="inlineStr">
        <is>
          <t>Зпв</t>
        </is>
      </c>
    </row>
    <row r="1344" customFormat="1" s="1">
      <c r="C1344" s="1" t="inlineStr">
        <is>
          <t xml:space="preserve">12144050            </t>
        </is>
      </c>
      <c r="D1344" s="1" t="inlineStr">
        <is>
          <t>Чулан: страшные тайны</t>
        </is>
      </c>
      <c r="E1344" s="1" t="inlineStr">
        <is>
          <t>Это не я. Хендрикс Дж.Л.</t>
        </is>
      </c>
      <c r="F1344" s="13" t="inlineStr">
        <is>
          <t>См.обл.</t>
        </is>
      </c>
      <c r="G1344" s="1" t="inlineStr">
        <is>
          <t>Хендрикс Дж.Л.</t>
        </is>
      </c>
      <c r="H1344" s="1" t="inlineStr">
        <is>
          <t>84х108/32</t>
        </is>
      </c>
      <c r="I1344" s="1" t="n">
        <v>400</v>
      </c>
      <c r="J1344" s="1" t="inlineStr">
        <is>
          <t>Дом историй</t>
        </is>
      </c>
      <c r="K1344" s="1" t="inlineStr">
        <is>
          <t>Эвербук</t>
        </is>
      </c>
      <c r="M1344" s="1" t="inlineStr">
        <is>
          <t>2026</t>
        </is>
      </c>
      <c r="N1344" s="1" t="inlineStr">
        <is>
          <t>П</t>
        </is>
      </c>
      <c r="O1344" s="9" t="n">
        <v>10</v>
      </c>
      <c r="P1344" s="1">
        <f>ROUNDUP(950*(1-$F$3),2)</f>
        <v/>
      </c>
      <c r="Q1344" s="1" t="inlineStr">
        <is>
          <t> </t>
        </is>
      </c>
      <c r="R1344" s="1" t="inlineStr">
        <is>
          <t>978-5-0058-1111-0</t>
        </is>
      </c>
      <c r="S1344" s="1" t="inlineStr">
        <is>
          <t>9785005811110</t>
        </is>
      </c>
      <c r="T1344" s="9" t="n">
        <v>10</v>
      </c>
      <c r="U1344" s="1">
        <f>ROUNDUP(863.64*(1-$F$3),2)</f>
        <v/>
      </c>
      <c r="V1344" s="1" t="n">
        <v>445</v>
      </c>
      <c r="Y1344" s="1" t="inlineStr">
        <is>
          <t>Это не я</t>
        </is>
      </c>
      <c r="Z1344" s="1" t="inlineStr">
        <is>
          <t>16+</t>
        </is>
      </c>
      <c r="AA1344" s="12" t="n">
        <v>46182</v>
      </c>
      <c r="AB1344" s="1" t="inlineStr">
        <is>
          <t>Художественная литература</t>
        </is>
      </c>
      <c r="AC1344" s="1" t="inlineStr">
        <is>
          <t>Детективы. Боевики. Триллеры</t>
        </is>
      </c>
      <c r="AD1344" s="1" t="inlineStr">
        <is>
          <t>Зарубежный детектив</t>
        </is>
      </c>
      <c r="AE1344" s="1" t="inlineStr">
        <is>
          <t>офсетная</t>
        </is>
      </c>
      <c r="AG1344" s="1" t="n">
        <v>12144050</v>
      </c>
      <c r="AI1344" s="1" t="inlineStr">
        <is>
          <t>4901990000</t>
        </is>
      </c>
    </row>
    <row r="1345" customFormat="1" s="1">
      <c r="C1345" s="1" t="inlineStr">
        <is>
          <t xml:space="preserve">11541140            </t>
        </is>
      </c>
      <c r="D1345" s="1" t="inlineStr">
        <is>
          <t>Чулан: страшные тайны</t>
        </is>
      </c>
      <c r="E1345" s="1" t="inlineStr">
        <is>
          <t>Я знаю, что видел. Махмуд И.</t>
        </is>
      </c>
      <c r="F1345" s="13" t="inlineStr">
        <is>
          <t>См.обл.</t>
        </is>
      </c>
      <c r="G1345" s="1" t="inlineStr">
        <is>
          <t>Махмуд И.</t>
        </is>
      </c>
      <c r="H1345" s="1" t="inlineStr">
        <is>
          <t>84х108/32</t>
        </is>
      </c>
      <c r="I1345" s="1" t="n">
        <v>368</v>
      </c>
      <c r="J1345" s="1" t="inlineStr">
        <is>
          <t>Дом историй</t>
        </is>
      </c>
      <c r="K1345" s="1" t="inlineStr">
        <is>
          <t>Эвербук</t>
        </is>
      </c>
      <c r="M1345" s="1" t="inlineStr">
        <is>
          <t>2024</t>
        </is>
      </c>
      <c r="N1345" s="1" t="inlineStr">
        <is>
          <t>О</t>
        </is>
      </c>
      <c r="O1345" s="9" t="n">
        <v>14</v>
      </c>
      <c r="P1345" s="1">
        <f>ROUNDUP(880*(1-$F$3),2)</f>
        <v/>
      </c>
      <c r="Q1345" s="1" t="inlineStr">
        <is>
          <t> </t>
        </is>
      </c>
      <c r="R1345" s="1" t="inlineStr">
        <is>
          <t>978-5-0058-0251-4</t>
        </is>
      </c>
      <c r="S1345" s="1" t="inlineStr">
        <is>
          <t>9785005802514</t>
        </is>
      </c>
      <c r="T1345" s="9" t="n">
        <v>22</v>
      </c>
      <c r="U1345" s="1">
        <f>ROUNDUP(721.31*(1-$F$3),2)</f>
        <v/>
      </c>
      <c r="V1345" s="1" t="n">
        <v>311</v>
      </c>
      <c r="Y1345" s="1" t="inlineStr">
        <is>
          <t>Я знаю, что видел</t>
        </is>
      </c>
      <c r="Z1345" s="1" t="inlineStr">
        <is>
          <t>18+</t>
        </is>
      </c>
      <c r="AA1345" s="12" t="n">
        <v>45603</v>
      </c>
      <c r="AB1345" s="1" t="inlineStr">
        <is>
          <t>Художественная литература</t>
        </is>
      </c>
      <c r="AC1345" s="1" t="inlineStr">
        <is>
          <t>Детективы. Боевики. Триллеры</t>
        </is>
      </c>
      <c r="AD1345" s="1" t="inlineStr">
        <is>
          <t>Зарубежный детектив</t>
        </is>
      </c>
      <c r="AE1345" s="1" t="inlineStr">
        <is>
          <t>офсетная</t>
        </is>
      </c>
      <c r="AG1345" s="1" t="n">
        <v>11541140</v>
      </c>
      <c r="AI1345" s="1" t="inlineStr">
        <is>
          <t>4901990000</t>
        </is>
      </c>
    </row>
    <row r="1346" ht="18" customFormat="1" customHeight="1" s="16">
      <c r="B1346" s="16" t="inlineStr">
        <is>
          <t>Жанр: Прочие</t>
        </is>
      </c>
      <c r="F1346" s="17" t="n"/>
      <c r="O1346" s="25" t="n"/>
      <c r="T1346" s="25" t="n"/>
      <c r="AA1346" s="18" t="n"/>
    </row>
    <row r="1347" ht="16.5" customFormat="1" customHeight="1" s="19">
      <c r="B1347" s="19" t="inlineStr">
        <is>
          <t>РИПОЛ Классик</t>
        </is>
      </c>
      <c r="F1347" s="20" t="n"/>
      <c r="O1347" s="28" t="n"/>
      <c r="T1347" s="28" t="n"/>
      <c r="AA1347" s="21" t="n"/>
    </row>
    <row r="1348" customFormat="1" s="1">
      <c r="C1348" s="1" t="inlineStr">
        <is>
          <t>9721210</t>
        </is>
      </c>
      <c r="D1348" s="1" t="inlineStr">
        <is>
          <t>Общество любителей изящного переплета</t>
        </is>
      </c>
      <c r="E1348" s="1" t="inlineStr">
        <is>
          <t>ОЛИП. Энциклопедия оружия. Лучшие мировые образцы (золот. тиснен.). Алексеев Д.</t>
        </is>
      </c>
      <c r="F1348" s="13" t="inlineStr">
        <is>
          <t>См.обл.</t>
        </is>
      </c>
      <c r="G1348" s="1" t="inlineStr">
        <is>
          <t>Алексеев Д.</t>
        </is>
      </c>
      <c r="H1348" s="1" t="inlineStr">
        <is>
          <t>60х100/8</t>
        </is>
      </c>
      <c r="I1348" s="1" t="n">
        <v>480</v>
      </c>
      <c r="J1348" s="1" t="inlineStr">
        <is>
          <t>РИПОЛ Классик</t>
        </is>
      </c>
      <c r="M1348" s="1" t="inlineStr">
        <is>
          <t>2019</t>
        </is>
      </c>
      <c r="N1348" s="1" t="inlineStr">
        <is>
          <t>П</t>
        </is>
      </c>
      <c r="O1348" s="9" t="n"/>
      <c r="P1348" s="1">
        <f>ROUNDUP(97300.1*(1-$F$3),2)</f>
        <v/>
      </c>
      <c r="Q1348" s="1" t="inlineStr">
        <is>
          <t> </t>
        </is>
      </c>
      <c r="R1348" s="1" t="inlineStr">
        <is>
          <t>978-5-521-16048-8</t>
        </is>
      </c>
      <c r="S1348" s="1" t="inlineStr">
        <is>
          <t>9785521160488</t>
        </is>
      </c>
      <c r="T1348" s="9" t="n">
        <v>10</v>
      </c>
      <c r="U1348" s="1">
        <f>ROUNDUP(88454.64*(1-$F$3),2)</f>
        <v/>
      </c>
      <c r="V1348" s="1" t="n">
        <v>2921</v>
      </c>
      <c r="Y1348" s="1" t="inlineStr">
        <is>
          <t>ОЛИП. Энциклопедия оружия. Лучшие мировые образцы (золот. тиснен.)</t>
        </is>
      </c>
      <c r="Z1348" s="1" t="inlineStr">
        <is>
          <t>12+</t>
        </is>
      </c>
      <c r="AA1348" s="12" t="n">
        <v>44333</v>
      </c>
      <c r="AB1348" s="1" t="inlineStr">
        <is>
          <t>Общественные науки</t>
        </is>
      </c>
      <c r="AC1348" s="1" t="inlineStr">
        <is>
          <t>Военное дело. Гражданская защита</t>
        </is>
      </c>
      <c r="AD1348" s="1" t="inlineStr">
        <is>
          <t>Оружие</t>
        </is>
      </c>
      <c r="AE1348" s="1" t="inlineStr">
        <is>
          <t>мелованная</t>
        </is>
      </c>
      <c r="AG1348" s="1" t="n">
        <v>9721210</v>
      </c>
      <c r="AI1348" s="1" t="inlineStr">
        <is>
          <t>4901910000</t>
        </is>
      </c>
    </row>
    <row r="1349">
      <c r="O1349" s="8" t="n"/>
      <c r="T1349" s="8" t="n"/>
    </row>
  </sheetData>
  <autoFilter ref="A5:AJ1354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  <hyperlink xmlns:r="http://schemas.openxmlformats.org/officeDocument/2006/relationships" ref="F26" r:id="rId20"/>
    <hyperlink xmlns:r="http://schemas.openxmlformats.org/officeDocument/2006/relationships" ref="F27" r:id="rId21"/>
    <hyperlink xmlns:r="http://schemas.openxmlformats.org/officeDocument/2006/relationships" ref="F28" r:id="rId22"/>
    <hyperlink xmlns:r="http://schemas.openxmlformats.org/officeDocument/2006/relationships" ref="F29" r:id="rId23"/>
    <hyperlink xmlns:r="http://schemas.openxmlformats.org/officeDocument/2006/relationships" ref="F30" r:id="rId24"/>
    <hyperlink xmlns:r="http://schemas.openxmlformats.org/officeDocument/2006/relationships" ref="F31" r:id="rId25"/>
    <hyperlink xmlns:r="http://schemas.openxmlformats.org/officeDocument/2006/relationships" ref="F32" r:id="rId26"/>
    <hyperlink xmlns:r="http://schemas.openxmlformats.org/officeDocument/2006/relationships" ref="F33" r:id="rId27"/>
    <hyperlink xmlns:r="http://schemas.openxmlformats.org/officeDocument/2006/relationships" ref="F34" r:id="rId28"/>
    <hyperlink xmlns:r="http://schemas.openxmlformats.org/officeDocument/2006/relationships" ref="F35" r:id="rId29"/>
    <hyperlink xmlns:r="http://schemas.openxmlformats.org/officeDocument/2006/relationships" ref="F36" r:id="rId30"/>
    <hyperlink xmlns:r="http://schemas.openxmlformats.org/officeDocument/2006/relationships" ref="F37" r:id="rId31"/>
    <hyperlink xmlns:r="http://schemas.openxmlformats.org/officeDocument/2006/relationships" ref="F38" r:id="rId32"/>
    <hyperlink xmlns:r="http://schemas.openxmlformats.org/officeDocument/2006/relationships" ref="F39" r:id="rId33"/>
    <hyperlink xmlns:r="http://schemas.openxmlformats.org/officeDocument/2006/relationships" ref="F40" r:id="rId34"/>
    <hyperlink xmlns:r="http://schemas.openxmlformats.org/officeDocument/2006/relationships" ref="F41" r:id="rId35"/>
    <hyperlink xmlns:r="http://schemas.openxmlformats.org/officeDocument/2006/relationships" ref="F42" r:id="rId36"/>
    <hyperlink xmlns:r="http://schemas.openxmlformats.org/officeDocument/2006/relationships" ref="F43" r:id="rId37"/>
    <hyperlink xmlns:r="http://schemas.openxmlformats.org/officeDocument/2006/relationships" ref="F44" r:id="rId38"/>
    <hyperlink xmlns:r="http://schemas.openxmlformats.org/officeDocument/2006/relationships" ref="F45" r:id="rId39"/>
    <hyperlink xmlns:r="http://schemas.openxmlformats.org/officeDocument/2006/relationships" ref="F46" r:id="rId40"/>
    <hyperlink xmlns:r="http://schemas.openxmlformats.org/officeDocument/2006/relationships" ref="F47" r:id="rId41"/>
    <hyperlink xmlns:r="http://schemas.openxmlformats.org/officeDocument/2006/relationships" ref="F48" r:id="rId42"/>
    <hyperlink xmlns:r="http://schemas.openxmlformats.org/officeDocument/2006/relationships" ref="F49" r:id="rId43"/>
    <hyperlink xmlns:r="http://schemas.openxmlformats.org/officeDocument/2006/relationships" ref="F50" r:id="rId44"/>
    <hyperlink xmlns:r="http://schemas.openxmlformats.org/officeDocument/2006/relationships" ref="F51" r:id="rId45"/>
    <hyperlink xmlns:r="http://schemas.openxmlformats.org/officeDocument/2006/relationships" ref="F52" r:id="rId46"/>
    <hyperlink xmlns:r="http://schemas.openxmlformats.org/officeDocument/2006/relationships" ref="F53" r:id="rId47"/>
    <hyperlink xmlns:r="http://schemas.openxmlformats.org/officeDocument/2006/relationships" ref="F54" r:id="rId48"/>
    <hyperlink xmlns:r="http://schemas.openxmlformats.org/officeDocument/2006/relationships" ref="F55" r:id="rId49"/>
    <hyperlink xmlns:r="http://schemas.openxmlformats.org/officeDocument/2006/relationships" ref="F56" r:id="rId50"/>
    <hyperlink xmlns:r="http://schemas.openxmlformats.org/officeDocument/2006/relationships" ref="F57" r:id="rId51"/>
    <hyperlink xmlns:r="http://schemas.openxmlformats.org/officeDocument/2006/relationships" ref="F58" r:id="rId52"/>
    <hyperlink xmlns:r="http://schemas.openxmlformats.org/officeDocument/2006/relationships" ref="F59" r:id="rId53"/>
    <hyperlink xmlns:r="http://schemas.openxmlformats.org/officeDocument/2006/relationships" ref="F60" r:id="rId54"/>
    <hyperlink xmlns:r="http://schemas.openxmlformats.org/officeDocument/2006/relationships" ref="F61" r:id="rId55"/>
    <hyperlink xmlns:r="http://schemas.openxmlformats.org/officeDocument/2006/relationships" ref="F62" r:id="rId56"/>
    <hyperlink xmlns:r="http://schemas.openxmlformats.org/officeDocument/2006/relationships" ref="F63" r:id="rId57"/>
    <hyperlink xmlns:r="http://schemas.openxmlformats.org/officeDocument/2006/relationships" ref="F64" r:id="rId58"/>
    <hyperlink xmlns:r="http://schemas.openxmlformats.org/officeDocument/2006/relationships" ref="F65" r:id="rId59"/>
    <hyperlink xmlns:r="http://schemas.openxmlformats.org/officeDocument/2006/relationships" ref="F66" r:id="rId60"/>
    <hyperlink xmlns:r="http://schemas.openxmlformats.org/officeDocument/2006/relationships" ref="F67" r:id="rId61"/>
    <hyperlink xmlns:r="http://schemas.openxmlformats.org/officeDocument/2006/relationships" ref="F68" r:id="rId62"/>
    <hyperlink xmlns:r="http://schemas.openxmlformats.org/officeDocument/2006/relationships" ref="F69" r:id="rId63"/>
    <hyperlink xmlns:r="http://schemas.openxmlformats.org/officeDocument/2006/relationships" ref="F70" r:id="rId64"/>
    <hyperlink xmlns:r="http://schemas.openxmlformats.org/officeDocument/2006/relationships" ref="F71" r:id="rId65"/>
    <hyperlink xmlns:r="http://schemas.openxmlformats.org/officeDocument/2006/relationships" ref="F72" r:id="rId66"/>
    <hyperlink xmlns:r="http://schemas.openxmlformats.org/officeDocument/2006/relationships" ref="F73" r:id="rId67"/>
    <hyperlink xmlns:r="http://schemas.openxmlformats.org/officeDocument/2006/relationships" ref="F74" r:id="rId68"/>
    <hyperlink xmlns:r="http://schemas.openxmlformats.org/officeDocument/2006/relationships" ref="F75" r:id="rId69"/>
    <hyperlink xmlns:r="http://schemas.openxmlformats.org/officeDocument/2006/relationships" ref="F76" r:id="rId70"/>
    <hyperlink xmlns:r="http://schemas.openxmlformats.org/officeDocument/2006/relationships" ref="F77" r:id="rId71"/>
    <hyperlink xmlns:r="http://schemas.openxmlformats.org/officeDocument/2006/relationships" ref="F78" r:id="rId72"/>
    <hyperlink xmlns:r="http://schemas.openxmlformats.org/officeDocument/2006/relationships" ref="F79" r:id="rId73"/>
    <hyperlink xmlns:r="http://schemas.openxmlformats.org/officeDocument/2006/relationships" ref="F80" r:id="rId74"/>
    <hyperlink xmlns:r="http://schemas.openxmlformats.org/officeDocument/2006/relationships" ref="F81" r:id="rId75"/>
    <hyperlink xmlns:r="http://schemas.openxmlformats.org/officeDocument/2006/relationships" ref="F82" r:id="rId76"/>
    <hyperlink xmlns:r="http://schemas.openxmlformats.org/officeDocument/2006/relationships" ref="F84" r:id="rId77"/>
    <hyperlink xmlns:r="http://schemas.openxmlformats.org/officeDocument/2006/relationships" ref="F85" r:id="rId78"/>
    <hyperlink xmlns:r="http://schemas.openxmlformats.org/officeDocument/2006/relationships" ref="F86" r:id="rId79"/>
    <hyperlink xmlns:r="http://schemas.openxmlformats.org/officeDocument/2006/relationships" ref="F87" r:id="rId80"/>
    <hyperlink xmlns:r="http://schemas.openxmlformats.org/officeDocument/2006/relationships" ref="F88" r:id="rId81"/>
    <hyperlink xmlns:r="http://schemas.openxmlformats.org/officeDocument/2006/relationships" ref="F89" r:id="rId82"/>
    <hyperlink xmlns:r="http://schemas.openxmlformats.org/officeDocument/2006/relationships" ref="F90" r:id="rId83"/>
    <hyperlink xmlns:r="http://schemas.openxmlformats.org/officeDocument/2006/relationships" ref="F91" r:id="rId84"/>
    <hyperlink xmlns:r="http://schemas.openxmlformats.org/officeDocument/2006/relationships" ref="F92" r:id="rId85"/>
    <hyperlink xmlns:r="http://schemas.openxmlformats.org/officeDocument/2006/relationships" ref="F93" r:id="rId86"/>
    <hyperlink xmlns:r="http://schemas.openxmlformats.org/officeDocument/2006/relationships" ref="F95" r:id="rId87"/>
    <hyperlink xmlns:r="http://schemas.openxmlformats.org/officeDocument/2006/relationships" ref="F96" r:id="rId88"/>
    <hyperlink xmlns:r="http://schemas.openxmlformats.org/officeDocument/2006/relationships" ref="F97" r:id="rId89"/>
    <hyperlink xmlns:r="http://schemas.openxmlformats.org/officeDocument/2006/relationships" ref="F98" r:id="rId90"/>
    <hyperlink xmlns:r="http://schemas.openxmlformats.org/officeDocument/2006/relationships" ref="F99" r:id="rId91"/>
    <hyperlink xmlns:r="http://schemas.openxmlformats.org/officeDocument/2006/relationships" ref="F100" r:id="rId92"/>
    <hyperlink xmlns:r="http://schemas.openxmlformats.org/officeDocument/2006/relationships" ref="F101" r:id="rId93"/>
    <hyperlink xmlns:r="http://schemas.openxmlformats.org/officeDocument/2006/relationships" ref="F102" r:id="rId94"/>
    <hyperlink xmlns:r="http://schemas.openxmlformats.org/officeDocument/2006/relationships" ref="F103" r:id="rId95"/>
    <hyperlink xmlns:r="http://schemas.openxmlformats.org/officeDocument/2006/relationships" ref="F104" r:id="rId96"/>
    <hyperlink xmlns:r="http://schemas.openxmlformats.org/officeDocument/2006/relationships" ref="F105" r:id="rId97"/>
    <hyperlink xmlns:r="http://schemas.openxmlformats.org/officeDocument/2006/relationships" ref="F106" r:id="rId98"/>
    <hyperlink xmlns:r="http://schemas.openxmlformats.org/officeDocument/2006/relationships" ref="F107" r:id="rId99"/>
    <hyperlink xmlns:r="http://schemas.openxmlformats.org/officeDocument/2006/relationships" ref="F108" r:id="rId100"/>
    <hyperlink xmlns:r="http://schemas.openxmlformats.org/officeDocument/2006/relationships" ref="F109" r:id="rId101"/>
    <hyperlink xmlns:r="http://schemas.openxmlformats.org/officeDocument/2006/relationships" ref="F110" r:id="rId102"/>
    <hyperlink xmlns:r="http://schemas.openxmlformats.org/officeDocument/2006/relationships" ref="F111" r:id="rId103"/>
    <hyperlink xmlns:r="http://schemas.openxmlformats.org/officeDocument/2006/relationships" ref="F112" r:id="rId104"/>
    <hyperlink xmlns:r="http://schemas.openxmlformats.org/officeDocument/2006/relationships" ref="F113" r:id="rId105"/>
    <hyperlink xmlns:r="http://schemas.openxmlformats.org/officeDocument/2006/relationships" ref="F114" r:id="rId106"/>
    <hyperlink xmlns:r="http://schemas.openxmlformats.org/officeDocument/2006/relationships" ref="F115" r:id="rId107"/>
    <hyperlink xmlns:r="http://schemas.openxmlformats.org/officeDocument/2006/relationships" ref="F116" r:id="rId108"/>
    <hyperlink xmlns:r="http://schemas.openxmlformats.org/officeDocument/2006/relationships" ref="F117" r:id="rId109"/>
    <hyperlink xmlns:r="http://schemas.openxmlformats.org/officeDocument/2006/relationships" ref="F118" r:id="rId110"/>
    <hyperlink xmlns:r="http://schemas.openxmlformats.org/officeDocument/2006/relationships" ref="F119" r:id="rId111"/>
    <hyperlink xmlns:r="http://schemas.openxmlformats.org/officeDocument/2006/relationships" ref="F120" r:id="rId112"/>
    <hyperlink xmlns:r="http://schemas.openxmlformats.org/officeDocument/2006/relationships" ref="F121" r:id="rId113"/>
    <hyperlink xmlns:r="http://schemas.openxmlformats.org/officeDocument/2006/relationships" ref="F122" r:id="rId114"/>
    <hyperlink xmlns:r="http://schemas.openxmlformats.org/officeDocument/2006/relationships" ref="F123" r:id="rId115"/>
    <hyperlink xmlns:r="http://schemas.openxmlformats.org/officeDocument/2006/relationships" ref="F124" r:id="rId116"/>
    <hyperlink xmlns:r="http://schemas.openxmlformats.org/officeDocument/2006/relationships" ref="F125" r:id="rId117"/>
    <hyperlink xmlns:r="http://schemas.openxmlformats.org/officeDocument/2006/relationships" ref="F126" r:id="rId118"/>
    <hyperlink xmlns:r="http://schemas.openxmlformats.org/officeDocument/2006/relationships" ref="F127" r:id="rId119"/>
    <hyperlink xmlns:r="http://schemas.openxmlformats.org/officeDocument/2006/relationships" ref="F128" r:id="rId120"/>
    <hyperlink xmlns:r="http://schemas.openxmlformats.org/officeDocument/2006/relationships" ref="F129" r:id="rId121"/>
    <hyperlink xmlns:r="http://schemas.openxmlformats.org/officeDocument/2006/relationships" ref="F130" r:id="rId122"/>
    <hyperlink xmlns:r="http://schemas.openxmlformats.org/officeDocument/2006/relationships" ref="F131" r:id="rId123"/>
    <hyperlink xmlns:r="http://schemas.openxmlformats.org/officeDocument/2006/relationships" ref="F132" r:id="rId124"/>
    <hyperlink xmlns:r="http://schemas.openxmlformats.org/officeDocument/2006/relationships" ref="F133" r:id="rId125"/>
    <hyperlink xmlns:r="http://schemas.openxmlformats.org/officeDocument/2006/relationships" ref="F134" r:id="rId126"/>
    <hyperlink xmlns:r="http://schemas.openxmlformats.org/officeDocument/2006/relationships" ref="F135" r:id="rId127"/>
    <hyperlink xmlns:r="http://schemas.openxmlformats.org/officeDocument/2006/relationships" ref="F136" r:id="rId128"/>
    <hyperlink xmlns:r="http://schemas.openxmlformats.org/officeDocument/2006/relationships" ref="F137" r:id="rId129"/>
    <hyperlink xmlns:r="http://schemas.openxmlformats.org/officeDocument/2006/relationships" ref="F138" r:id="rId130"/>
    <hyperlink xmlns:r="http://schemas.openxmlformats.org/officeDocument/2006/relationships" ref="F139" r:id="rId131"/>
    <hyperlink xmlns:r="http://schemas.openxmlformats.org/officeDocument/2006/relationships" ref="F140" r:id="rId132"/>
    <hyperlink xmlns:r="http://schemas.openxmlformats.org/officeDocument/2006/relationships" ref="F141" r:id="rId133"/>
    <hyperlink xmlns:r="http://schemas.openxmlformats.org/officeDocument/2006/relationships" ref="F142" r:id="rId134"/>
    <hyperlink xmlns:r="http://schemas.openxmlformats.org/officeDocument/2006/relationships" ref="F143" r:id="rId135"/>
    <hyperlink xmlns:r="http://schemas.openxmlformats.org/officeDocument/2006/relationships" ref="F144" r:id="rId136"/>
    <hyperlink xmlns:r="http://schemas.openxmlformats.org/officeDocument/2006/relationships" ref="F145" r:id="rId137"/>
    <hyperlink xmlns:r="http://schemas.openxmlformats.org/officeDocument/2006/relationships" ref="F146" r:id="rId138"/>
    <hyperlink xmlns:r="http://schemas.openxmlformats.org/officeDocument/2006/relationships" ref="F147" r:id="rId139"/>
    <hyperlink xmlns:r="http://schemas.openxmlformats.org/officeDocument/2006/relationships" ref="F148" r:id="rId140"/>
    <hyperlink xmlns:r="http://schemas.openxmlformats.org/officeDocument/2006/relationships" ref="F149" r:id="rId141"/>
    <hyperlink xmlns:r="http://schemas.openxmlformats.org/officeDocument/2006/relationships" ref="F150" r:id="rId142"/>
    <hyperlink xmlns:r="http://schemas.openxmlformats.org/officeDocument/2006/relationships" ref="F151" r:id="rId143"/>
    <hyperlink xmlns:r="http://schemas.openxmlformats.org/officeDocument/2006/relationships" ref="F152" r:id="rId144"/>
    <hyperlink xmlns:r="http://schemas.openxmlformats.org/officeDocument/2006/relationships" ref="F153" r:id="rId145"/>
    <hyperlink xmlns:r="http://schemas.openxmlformats.org/officeDocument/2006/relationships" ref="F154" r:id="rId146"/>
    <hyperlink xmlns:r="http://schemas.openxmlformats.org/officeDocument/2006/relationships" ref="F155" r:id="rId147"/>
    <hyperlink xmlns:r="http://schemas.openxmlformats.org/officeDocument/2006/relationships" ref="F156" r:id="rId148"/>
    <hyperlink xmlns:r="http://schemas.openxmlformats.org/officeDocument/2006/relationships" ref="F157" r:id="rId149"/>
    <hyperlink xmlns:r="http://schemas.openxmlformats.org/officeDocument/2006/relationships" ref="F158" r:id="rId150"/>
    <hyperlink xmlns:r="http://schemas.openxmlformats.org/officeDocument/2006/relationships" ref="F159" r:id="rId151"/>
    <hyperlink xmlns:r="http://schemas.openxmlformats.org/officeDocument/2006/relationships" ref="F160" r:id="rId152"/>
    <hyperlink xmlns:r="http://schemas.openxmlformats.org/officeDocument/2006/relationships" ref="F161" r:id="rId153"/>
    <hyperlink xmlns:r="http://schemas.openxmlformats.org/officeDocument/2006/relationships" ref="F162" r:id="rId154"/>
    <hyperlink xmlns:r="http://schemas.openxmlformats.org/officeDocument/2006/relationships" ref="F163" r:id="rId155"/>
    <hyperlink xmlns:r="http://schemas.openxmlformats.org/officeDocument/2006/relationships" ref="F164" r:id="rId156"/>
    <hyperlink xmlns:r="http://schemas.openxmlformats.org/officeDocument/2006/relationships" ref="F165" r:id="rId157"/>
    <hyperlink xmlns:r="http://schemas.openxmlformats.org/officeDocument/2006/relationships" ref="F166" r:id="rId158"/>
    <hyperlink xmlns:r="http://schemas.openxmlformats.org/officeDocument/2006/relationships" ref="F167" r:id="rId159"/>
    <hyperlink xmlns:r="http://schemas.openxmlformats.org/officeDocument/2006/relationships" ref="F168" r:id="rId160"/>
    <hyperlink xmlns:r="http://schemas.openxmlformats.org/officeDocument/2006/relationships" ref="F169" r:id="rId161"/>
    <hyperlink xmlns:r="http://schemas.openxmlformats.org/officeDocument/2006/relationships" ref="F170" r:id="rId162"/>
    <hyperlink xmlns:r="http://schemas.openxmlformats.org/officeDocument/2006/relationships" ref="F171" r:id="rId163"/>
    <hyperlink xmlns:r="http://schemas.openxmlformats.org/officeDocument/2006/relationships" ref="F172" r:id="rId164"/>
    <hyperlink xmlns:r="http://schemas.openxmlformats.org/officeDocument/2006/relationships" ref="F173" r:id="rId165"/>
    <hyperlink xmlns:r="http://schemas.openxmlformats.org/officeDocument/2006/relationships" ref="F174" r:id="rId166"/>
    <hyperlink xmlns:r="http://schemas.openxmlformats.org/officeDocument/2006/relationships" ref="F175" r:id="rId167"/>
    <hyperlink xmlns:r="http://schemas.openxmlformats.org/officeDocument/2006/relationships" ref="F176" r:id="rId168"/>
    <hyperlink xmlns:r="http://schemas.openxmlformats.org/officeDocument/2006/relationships" ref="F177" r:id="rId169"/>
    <hyperlink xmlns:r="http://schemas.openxmlformats.org/officeDocument/2006/relationships" ref="F178" r:id="rId170"/>
    <hyperlink xmlns:r="http://schemas.openxmlformats.org/officeDocument/2006/relationships" ref="F179" r:id="rId171"/>
    <hyperlink xmlns:r="http://schemas.openxmlformats.org/officeDocument/2006/relationships" ref="F180" r:id="rId172"/>
    <hyperlink xmlns:r="http://schemas.openxmlformats.org/officeDocument/2006/relationships" ref="F181" r:id="rId173"/>
    <hyperlink xmlns:r="http://schemas.openxmlformats.org/officeDocument/2006/relationships" ref="F182" r:id="rId174"/>
    <hyperlink xmlns:r="http://schemas.openxmlformats.org/officeDocument/2006/relationships" ref="F183" r:id="rId175"/>
    <hyperlink xmlns:r="http://schemas.openxmlformats.org/officeDocument/2006/relationships" ref="F184" r:id="rId176"/>
    <hyperlink xmlns:r="http://schemas.openxmlformats.org/officeDocument/2006/relationships" ref="F185" r:id="rId177"/>
    <hyperlink xmlns:r="http://schemas.openxmlformats.org/officeDocument/2006/relationships" ref="F186" r:id="rId178"/>
    <hyperlink xmlns:r="http://schemas.openxmlformats.org/officeDocument/2006/relationships" ref="F187" r:id="rId179"/>
    <hyperlink xmlns:r="http://schemas.openxmlformats.org/officeDocument/2006/relationships" ref="F188" r:id="rId180"/>
    <hyperlink xmlns:r="http://schemas.openxmlformats.org/officeDocument/2006/relationships" ref="F189" r:id="rId181"/>
    <hyperlink xmlns:r="http://schemas.openxmlformats.org/officeDocument/2006/relationships" ref="F190" r:id="rId182"/>
    <hyperlink xmlns:r="http://schemas.openxmlformats.org/officeDocument/2006/relationships" ref="F191" r:id="rId183"/>
    <hyperlink xmlns:r="http://schemas.openxmlformats.org/officeDocument/2006/relationships" ref="F192" r:id="rId184"/>
    <hyperlink xmlns:r="http://schemas.openxmlformats.org/officeDocument/2006/relationships" ref="F193" r:id="rId185"/>
    <hyperlink xmlns:r="http://schemas.openxmlformats.org/officeDocument/2006/relationships" ref="F194" r:id="rId186"/>
    <hyperlink xmlns:r="http://schemas.openxmlformats.org/officeDocument/2006/relationships" ref="F195" r:id="rId187"/>
    <hyperlink xmlns:r="http://schemas.openxmlformats.org/officeDocument/2006/relationships" ref="F196" r:id="rId188"/>
    <hyperlink xmlns:r="http://schemas.openxmlformats.org/officeDocument/2006/relationships" ref="F197" r:id="rId189"/>
    <hyperlink xmlns:r="http://schemas.openxmlformats.org/officeDocument/2006/relationships" ref="F198" r:id="rId190"/>
    <hyperlink xmlns:r="http://schemas.openxmlformats.org/officeDocument/2006/relationships" ref="F199" r:id="rId191"/>
    <hyperlink xmlns:r="http://schemas.openxmlformats.org/officeDocument/2006/relationships" ref="F200" r:id="rId192"/>
    <hyperlink xmlns:r="http://schemas.openxmlformats.org/officeDocument/2006/relationships" ref="F201" r:id="rId193"/>
    <hyperlink xmlns:r="http://schemas.openxmlformats.org/officeDocument/2006/relationships" ref="F202" r:id="rId194"/>
    <hyperlink xmlns:r="http://schemas.openxmlformats.org/officeDocument/2006/relationships" ref="F203" r:id="rId195"/>
    <hyperlink xmlns:r="http://schemas.openxmlformats.org/officeDocument/2006/relationships" ref="F204" r:id="rId196"/>
    <hyperlink xmlns:r="http://schemas.openxmlformats.org/officeDocument/2006/relationships" ref="F205" r:id="rId197"/>
    <hyperlink xmlns:r="http://schemas.openxmlformats.org/officeDocument/2006/relationships" ref="F206" r:id="rId198"/>
    <hyperlink xmlns:r="http://schemas.openxmlformats.org/officeDocument/2006/relationships" ref="F207" r:id="rId199"/>
    <hyperlink xmlns:r="http://schemas.openxmlformats.org/officeDocument/2006/relationships" ref="F208" r:id="rId200"/>
    <hyperlink xmlns:r="http://schemas.openxmlformats.org/officeDocument/2006/relationships" ref="F209" r:id="rId201"/>
    <hyperlink xmlns:r="http://schemas.openxmlformats.org/officeDocument/2006/relationships" ref="F210" r:id="rId202"/>
    <hyperlink xmlns:r="http://schemas.openxmlformats.org/officeDocument/2006/relationships" ref="F211" r:id="rId203"/>
    <hyperlink xmlns:r="http://schemas.openxmlformats.org/officeDocument/2006/relationships" ref="F212" r:id="rId204"/>
    <hyperlink xmlns:r="http://schemas.openxmlformats.org/officeDocument/2006/relationships" ref="F213" r:id="rId205"/>
    <hyperlink xmlns:r="http://schemas.openxmlformats.org/officeDocument/2006/relationships" ref="F214" r:id="rId206"/>
    <hyperlink xmlns:r="http://schemas.openxmlformats.org/officeDocument/2006/relationships" ref="F215" r:id="rId207"/>
    <hyperlink xmlns:r="http://schemas.openxmlformats.org/officeDocument/2006/relationships" ref="F216" r:id="rId208"/>
    <hyperlink xmlns:r="http://schemas.openxmlformats.org/officeDocument/2006/relationships" ref="F217" r:id="rId209"/>
    <hyperlink xmlns:r="http://schemas.openxmlformats.org/officeDocument/2006/relationships" ref="F218" r:id="rId210"/>
    <hyperlink xmlns:r="http://schemas.openxmlformats.org/officeDocument/2006/relationships" ref="F219" r:id="rId211"/>
    <hyperlink xmlns:r="http://schemas.openxmlformats.org/officeDocument/2006/relationships" ref="F220" r:id="rId212"/>
    <hyperlink xmlns:r="http://schemas.openxmlformats.org/officeDocument/2006/relationships" ref="F221" r:id="rId213"/>
    <hyperlink xmlns:r="http://schemas.openxmlformats.org/officeDocument/2006/relationships" ref="F222" r:id="rId214"/>
    <hyperlink xmlns:r="http://schemas.openxmlformats.org/officeDocument/2006/relationships" ref="F223" r:id="rId215"/>
    <hyperlink xmlns:r="http://schemas.openxmlformats.org/officeDocument/2006/relationships" ref="F224" r:id="rId216"/>
    <hyperlink xmlns:r="http://schemas.openxmlformats.org/officeDocument/2006/relationships" ref="F225" r:id="rId217"/>
    <hyperlink xmlns:r="http://schemas.openxmlformats.org/officeDocument/2006/relationships" ref="F226" r:id="rId218"/>
    <hyperlink xmlns:r="http://schemas.openxmlformats.org/officeDocument/2006/relationships" ref="F227" r:id="rId219"/>
    <hyperlink xmlns:r="http://schemas.openxmlformats.org/officeDocument/2006/relationships" ref="F228" r:id="rId220"/>
    <hyperlink xmlns:r="http://schemas.openxmlformats.org/officeDocument/2006/relationships" ref="F229" r:id="rId221"/>
    <hyperlink xmlns:r="http://schemas.openxmlformats.org/officeDocument/2006/relationships" ref="F230" r:id="rId222"/>
    <hyperlink xmlns:r="http://schemas.openxmlformats.org/officeDocument/2006/relationships" ref="F231" r:id="rId223"/>
    <hyperlink xmlns:r="http://schemas.openxmlformats.org/officeDocument/2006/relationships" ref="F232" r:id="rId224"/>
    <hyperlink xmlns:r="http://schemas.openxmlformats.org/officeDocument/2006/relationships" ref="F233" r:id="rId225"/>
    <hyperlink xmlns:r="http://schemas.openxmlformats.org/officeDocument/2006/relationships" ref="F234" r:id="rId226"/>
    <hyperlink xmlns:r="http://schemas.openxmlformats.org/officeDocument/2006/relationships" ref="F235" r:id="rId227"/>
    <hyperlink xmlns:r="http://schemas.openxmlformats.org/officeDocument/2006/relationships" ref="F236" r:id="rId228"/>
    <hyperlink xmlns:r="http://schemas.openxmlformats.org/officeDocument/2006/relationships" ref="F237" r:id="rId229"/>
    <hyperlink xmlns:r="http://schemas.openxmlformats.org/officeDocument/2006/relationships" ref="F238" r:id="rId230"/>
    <hyperlink xmlns:r="http://schemas.openxmlformats.org/officeDocument/2006/relationships" ref="F239" r:id="rId231"/>
    <hyperlink xmlns:r="http://schemas.openxmlformats.org/officeDocument/2006/relationships" ref="F240" r:id="rId232"/>
    <hyperlink xmlns:r="http://schemas.openxmlformats.org/officeDocument/2006/relationships" ref="F241" r:id="rId233"/>
    <hyperlink xmlns:r="http://schemas.openxmlformats.org/officeDocument/2006/relationships" ref="F242" r:id="rId234"/>
    <hyperlink xmlns:r="http://schemas.openxmlformats.org/officeDocument/2006/relationships" ref="F243" r:id="rId235"/>
    <hyperlink xmlns:r="http://schemas.openxmlformats.org/officeDocument/2006/relationships" ref="F244" r:id="rId236"/>
    <hyperlink xmlns:r="http://schemas.openxmlformats.org/officeDocument/2006/relationships" ref="F245" r:id="rId237"/>
    <hyperlink xmlns:r="http://schemas.openxmlformats.org/officeDocument/2006/relationships" ref="F246" r:id="rId238"/>
    <hyperlink xmlns:r="http://schemas.openxmlformats.org/officeDocument/2006/relationships" ref="F247" r:id="rId239"/>
    <hyperlink xmlns:r="http://schemas.openxmlformats.org/officeDocument/2006/relationships" ref="F248" r:id="rId240"/>
    <hyperlink xmlns:r="http://schemas.openxmlformats.org/officeDocument/2006/relationships" ref="F249" r:id="rId241"/>
    <hyperlink xmlns:r="http://schemas.openxmlformats.org/officeDocument/2006/relationships" ref="F250" r:id="rId242"/>
    <hyperlink xmlns:r="http://schemas.openxmlformats.org/officeDocument/2006/relationships" ref="F251" r:id="rId243"/>
    <hyperlink xmlns:r="http://schemas.openxmlformats.org/officeDocument/2006/relationships" ref="F252" r:id="rId244"/>
    <hyperlink xmlns:r="http://schemas.openxmlformats.org/officeDocument/2006/relationships" ref="F253" r:id="rId245"/>
    <hyperlink xmlns:r="http://schemas.openxmlformats.org/officeDocument/2006/relationships" ref="F254" r:id="rId246"/>
    <hyperlink xmlns:r="http://schemas.openxmlformats.org/officeDocument/2006/relationships" ref="F255" r:id="rId247"/>
    <hyperlink xmlns:r="http://schemas.openxmlformats.org/officeDocument/2006/relationships" ref="F256" r:id="rId248"/>
    <hyperlink xmlns:r="http://schemas.openxmlformats.org/officeDocument/2006/relationships" ref="F257" r:id="rId249"/>
    <hyperlink xmlns:r="http://schemas.openxmlformats.org/officeDocument/2006/relationships" ref="F258" r:id="rId250"/>
    <hyperlink xmlns:r="http://schemas.openxmlformats.org/officeDocument/2006/relationships" ref="F259" r:id="rId251"/>
    <hyperlink xmlns:r="http://schemas.openxmlformats.org/officeDocument/2006/relationships" ref="F260" r:id="rId252"/>
    <hyperlink xmlns:r="http://schemas.openxmlformats.org/officeDocument/2006/relationships" ref="F261" r:id="rId253"/>
    <hyperlink xmlns:r="http://schemas.openxmlformats.org/officeDocument/2006/relationships" ref="F262" r:id="rId254"/>
    <hyperlink xmlns:r="http://schemas.openxmlformats.org/officeDocument/2006/relationships" ref="F263" r:id="rId255"/>
    <hyperlink xmlns:r="http://schemas.openxmlformats.org/officeDocument/2006/relationships" ref="F264" r:id="rId256"/>
    <hyperlink xmlns:r="http://schemas.openxmlformats.org/officeDocument/2006/relationships" ref="F265" r:id="rId257"/>
    <hyperlink xmlns:r="http://schemas.openxmlformats.org/officeDocument/2006/relationships" ref="F266" r:id="rId258"/>
    <hyperlink xmlns:r="http://schemas.openxmlformats.org/officeDocument/2006/relationships" ref="F267" r:id="rId259"/>
    <hyperlink xmlns:r="http://schemas.openxmlformats.org/officeDocument/2006/relationships" ref="F268" r:id="rId260"/>
    <hyperlink xmlns:r="http://schemas.openxmlformats.org/officeDocument/2006/relationships" ref="F269" r:id="rId261"/>
    <hyperlink xmlns:r="http://schemas.openxmlformats.org/officeDocument/2006/relationships" ref="F270" r:id="rId262"/>
    <hyperlink xmlns:r="http://schemas.openxmlformats.org/officeDocument/2006/relationships" ref="F271" r:id="rId263"/>
    <hyperlink xmlns:r="http://schemas.openxmlformats.org/officeDocument/2006/relationships" ref="F272" r:id="rId264"/>
    <hyperlink xmlns:r="http://schemas.openxmlformats.org/officeDocument/2006/relationships" ref="F273" r:id="rId265"/>
    <hyperlink xmlns:r="http://schemas.openxmlformats.org/officeDocument/2006/relationships" ref="F274" r:id="rId266"/>
    <hyperlink xmlns:r="http://schemas.openxmlformats.org/officeDocument/2006/relationships" ref="F275" r:id="rId267"/>
    <hyperlink xmlns:r="http://schemas.openxmlformats.org/officeDocument/2006/relationships" ref="F276" r:id="rId268"/>
    <hyperlink xmlns:r="http://schemas.openxmlformats.org/officeDocument/2006/relationships" ref="F277" r:id="rId269"/>
    <hyperlink xmlns:r="http://schemas.openxmlformats.org/officeDocument/2006/relationships" ref="F278" r:id="rId270"/>
    <hyperlink xmlns:r="http://schemas.openxmlformats.org/officeDocument/2006/relationships" ref="F279" r:id="rId271"/>
    <hyperlink xmlns:r="http://schemas.openxmlformats.org/officeDocument/2006/relationships" ref="F280" r:id="rId272"/>
    <hyperlink xmlns:r="http://schemas.openxmlformats.org/officeDocument/2006/relationships" ref="F281" r:id="rId273"/>
    <hyperlink xmlns:r="http://schemas.openxmlformats.org/officeDocument/2006/relationships" ref="F282" r:id="rId274"/>
    <hyperlink xmlns:r="http://schemas.openxmlformats.org/officeDocument/2006/relationships" ref="F283" r:id="rId275"/>
    <hyperlink xmlns:r="http://schemas.openxmlformats.org/officeDocument/2006/relationships" ref="F284" r:id="rId276"/>
    <hyperlink xmlns:r="http://schemas.openxmlformats.org/officeDocument/2006/relationships" ref="F285" r:id="rId277"/>
    <hyperlink xmlns:r="http://schemas.openxmlformats.org/officeDocument/2006/relationships" ref="F286" r:id="rId278"/>
    <hyperlink xmlns:r="http://schemas.openxmlformats.org/officeDocument/2006/relationships" ref="F287" r:id="rId279"/>
    <hyperlink xmlns:r="http://schemas.openxmlformats.org/officeDocument/2006/relationships" ref="F288" r:id="rId280"/>
    <hyperlink xmlns:r="http://schemas.openxmlformats.org/officeDocument/2006/relationships" ref="F289" r:id="rId281"/>
    <hyperlink xmlns:r="http://schemas.openxmlformats.org/officeDocument/2006/relationships" ref="F290" r:id="rId282"/>
    <hyperlink xmlns:r="http://schemas.openxmlformats.org/officeDocument/2006/relationships" ref="F291" r:id="rId283"/>
    <hyperlink xmlns:r="http://schemas.openxmlformats.org/officeDocument/2006/relationships" ref="F292" r:id="rId284"/>
    <hyperlink xmlns:r="http://schemas.openxmlformats.org/officeDocument/2006/relationships" ref="F293" r:id="rId285"/>
    <hyperlink xmlns:r="http://schemas.openxmlformats.org/officeDocument/2006/relationships" ref="F294" r:id="rId286"/>
    <hyperlink xmlns:r="http://schemas.openxmlformats.org/officeDocument/2006/relationships" ref="F295" r:id="rId287"/>
    <hyperlink xmlns:r="http://schemas.openxmlformats.org/officeDocument/2006/relationships" ref="F296" r:id="rId288"/>
    <hyperlink xmlns:r="http://schemas.openxmlformats.org/officeDocument/2006/relationships" ref="F297" r:id="rId289"/>
    <hyperlink xmlns:r="http://schemas.openxmlformats.org/officeDocument/2006/relationships" ref="F298" r:id="rId290"/>
    <hyperlink xmlns:r="http://schemas.openxmlformats.org/officeDocument/2006/relationships" ref="F299" r:id="rId291"/>
    <hyperlink xmlns:r="http://schemas.openxmlformats.org/officeDocument/2006/relationships" ref="F300" r:id="rId292"/>
    <hyperlink xmlns:r="http://schemas.openxmlformats.org/officeDocument/2006/relationships" ref="F301" r:id="rId293"/>
    <hyperlink xmlns:r="http://schemas.openxmlformats.org/officeDocument/2006/relationships" ref="F302" r:id="rId294"/>
    <hyperlink xmlns:r="http://schemas.openxmlformats.org/officeDocument/2006/relationships" ref="F303" r:id="rId295"/>
    <hyperlink xmlns:r="http://schemas.openxmlformats.org/officeDocument/2006/relationships" ref="F304" r:id="rId296"/>
    <hyperlink xmlns:r="http://schemas.openxmlformats.org/officeDocument/2006/relationships" ref="F305" r:id="rId297"/>
    <hyperlink xmlns:r="http://schemas.openxmlformats.org/officeDocument/2006/relationships" ref="F306" r:id="rId298"/>
    <hyperlink xmlns:r="http://schemas.openxmlformats.org/officeDocument/2006/relationships" ref="F307" r:id="rId299"/>
    <hyperlink xmlns:r="http://schemas.openxmlformats.org/officeDocument/2006/relationships" ref="F308" r:id="rId300"/>
    <hyperlink xmlns:r="http://schemas.openxmlformats.org/officeDocument/2006/relationships" ref="F309" r:id="rId301"/>
    <hyperlink xmlns:r="http://schemas.openxmlformats.org/officeDocument/2006/relationships" ref="F310" r:id="rId302"/>
    <hyperlink xmlns:r="http://schemas.openxmlformats.org/officeDocument/2006/relationships" ref="F311" r:id="rId303"/>
    <hyperlink xmlns:r="http://schemas.openxmlformats.org/officeDocument/2006/relationships" ref="F312" r:id="rId304"/>
    <hyperlink xmlns:r="http://schemas.openxmlformats.org/officeDocument/2006/relationships" ref="F313" r:id="rId305"/>
    <hyperlink xmlns:r="http://schemas.openxmlformats.org/officeDocument/2006/relationships" ref="F314" r:id="rId306"/>
    <hyperlink xmlns:r="http://schemas.openxmlformats.org/officeDocument/2006/relationships" ref="F315" r:id="rId307"/>
    <hyperlink xmlns:r="http://schemas.openxmlformats.org/officeDocument/2006/relationships" ref="F316" r:id="rId308"/>
    <hyperlink xmlns:r="http://schemas.openxmlformats.org/officeDocument/2006/relationships" ref="F317" r:id="rId309"/>
    <hyperlink xmlns:r="http://schemas.openxmlformats.org/officeDocument/2006/relationships" ref="F318" r:id="rId310"/>
    <hyperlink xmlns:r="http://schemas.openxmlformats.org/officeDocument/2006/relationships" ref="F319" r:id="rId311"/>
    <hyperlink xmlns:r="http://schemas.openxmlformats.org/officeDocument/2006/relationships" ref="F320" r:id="rId312"/>
    <hyperlink xmlns:r="http://schemas.openxmlformats.org/officeDocument/2006/relationships" ref="F321" r:id="rId313"/>
    <hyperlink xmlns:r="http://schemas.openxmlformats.org/officeDocument/2006/relationships" ref="F322" r:id="rId314"/>
    <hyperlink xmlns:r="http://schemas.openxmlformats.org/officeDocument/2006/relationships" ref="F323" r:id="rId315"/>
    <hyperlink xmlns:r="http://schemas.openxmlformats.org/officeDocument/2006/relationships" ref="F324" r:id="rId316"/>
    <hyperlink xmlns:r="http://schemas.openxmlformats.org/officeDocument/2006/relationships" ref="F325" r:id="rId317"/>
    <hyperlink xmlns:r="http://schemas.openxmlformats.org/officeDocument/2006/relationships" ref="F326" r:id="rId318"/>
    <hyperlink xmlns:r="http://schemas.openxmlformats.org/officeDocument/2006/relationships" ref="F327" r:id="rId319"/>
    <hyperlink xmlns:r="http://schemas.openxmlformats.org/officeDocument/2006/relationships" ref="F328" r:id="rId320"/>
    <hyperlink xmlns:r="http://schemas.openxmlformats.org/officeDocument/2006/relationships" ref="F329" r:id="rId321"/>
    <hyperlink xmlns:r="http://schemas.openxmlformats.org/officeDocument/2006/relationships" ref="F330" r:id="rId322"/>
    <hyperlink xmlns:r="http://schemas.openxmlformats.org/officeDocument/2006/relationships" ref="F331" r:id="rId323"/>
    <hyperlink xmlns:r="http://schemas.openxmlformats.org/officeDocument/2006/relationships" ref="F332" r:id="rId324"/>
    <hyperlink xmlns:r="http://schemas.openxmlformats.org/officeDocument/2006/relationships" ref="F333" r:id="rId325"/>
    <hyperlink xmlns:r="http://schemas.openxmlformats.org/officeDocument/2006/relationships" ref="F334" r:id="rId326"/>
    <hyperlink xmlns:r="http://schemas.openxmlformats.org/officeDocument/2006/relationships" ref="F335" r:id="rId327"/>
    <hyperlink xmlns:r="http://schemas.openxmlformats.org/officeDocument/2006/relationships" ref="F336" r:id="rId328"/>
    <hyperlink xmlns:r="http://schemas.openxmlformats.org/officeDocument/2006/relationships" ref="F337" r:id="rId329"/>
    <hyperlink xmlns:r="http://schemas.openxmlformats.org/officeDocument/2006/relationships" ref="F338" r:id="rId330"/>
    <hyperlink xmlns:r="http://schemas.openxmlformats.org/officeDocument/2006/relationships" ref="F339" r:id="rId331"/>
    <hyperlink xmlns:r="http://schemas.openxmlformats.org/officeDocument/2006/relationships" ref="F340" r:id="rId332"/>
    <hyperlink xmlns:r="http://schemas.openxmlformats.org/officeDocument/2006/relationships" ref="F341" r:id="rId333"/>
    <hyperlink xmlns:r="http://schemas.openxmlformats.org/officeDocument/2006/relationships" ref="F342" r:id="rId334"/>
    <hyperlink xmlns:r="http://schemas.openxmlformats.org/officeDocument/2006/relationships" ref="F343" r:id="rId335"/>
    <hyperlink xmlns:r="http://schemas.openxmlformats.org/officeDocument/2006/relationships" ref="F344" r:id="rId336"/>
    <hyperlink xmlns:r="http://schemas.openxmlformats.org/officeDocument/2006/relationships" ref="F345" r:id="rId337"/>
    <hyperlink xmlns:r="http://schemas.openxmlformats.org/officeDocument/2006/relationships" ref="F346" r:id="rId338"/>
    <hyperlink xmlns:r="http://schemas.openxmlformats.org/officeDocument/2006/relationships" ref="F347" r:id="rId339"/>
    <hyperlink xmlns:r="http://schemas.openxmlformats.org/officeDocument/2006/relationships" ref="F348" r:id="rId340"/>
    <hyperlink xmlns:r="http://schemas.openxmlformats.org/officeDocument/2006/relationships" ref="F349" r:id="rId341"/>
    <hyperlink xmlns:r="http://schemas.openxmlformats.org/officeDocument/2006/relationships" ref="F350" r:id="rId342"/>
    <hyperlink xmlns:r="http://schemas.openxmlformats.org/officeDocument/2006/relationships" ref="F351" r:id="rId343"/>
    <hyperlink xmlns:r="http://schemas.openxmlformats.org/officeDocument/2006/relationships" ref="F352" r:id="rId344"/>
    <hyperlink xmlns:r="http://schemas.openxmlformats.org/officeDocument/2006/relationships" ref="F353" r:id="rId345"/>
    <hyperlink xmlns:r="http://schemas.openxmlformats.org/officeDocument/2006/relationships" ref="F354" r:id="rId346"/>
    <hyperlink xmlns:r="http://schemas.openxmlformats.org/officeDocument/2006/relationships" ref="F355" r:id="rId347"/>
    <hyperlink xmlns:r="http://schemas.openxmlformats.org/officeDocument/2006/relationships" ref="F356" r:id="rId348"/>
    <hyperlink xmlns:r="http://schemas.openxmlformats.org/officeDocument/2006/relationships" ref="F357" r:id="rId349"/>
    <hyperlink xmlns:r="http://schemas.openxmlformats.org/officeDocument/2006/relationships" ref="F358" r:id="rId350"/>
    <hyperlink xmlns:r="http://schemas.openxmlformats.org/officeDocument/2006/relationships" ref="F359" r:id="rId351"/>
    <hyperlink xmlns:r="http://schemas.openxmlformats.org/officeDocument/2006/relationships" ref="F360" r:id="rId352"/>
    <hyperlink xmlns:r="http://schemas.openxmlformats.org/officeDocument/2006/relationships" ref="F361" r:id="rId353"/>
    <hyperlink xmlns:r="http://schemas.openxmlformats.org/officeDocument/2006/relationships" ref="F362" r:id="rId354"/>
    <hyperlink xmlns:r="http://schemas.openxmlformats.org/officeDocument/2006/relationships" ref="F363" r:id="rId355"/>
    <hyperlink xmlns:r="http://schemas.openxmlformats.org/officeDocument/2006/relationships" ref="F364" r:id="rId356"/>
    <hyperlink xmlns:r="http://schemas.openxmlformats.org/officeDocument/2006/relationships" ref="F365" r:id="rId357"/>
    <hyperlink xmlns:r="http://schemas.openxmlformats.org/officeDocument/2006/relationships" ref="F366" r:id="rId358"/>
    <hyperlink xmlns:r="http://schemas.openxmlformats.org/officeDocument/2006/relationships" ref="F367" r:id="rId359"/>
    <hyperlink xmlns:r="http://schemas.openxmlformats.org/officeDocument/2006/relationships" ref="F368" r:id="rId360"/>
    <hyperlink xmlns:r="http://schemas.openxmlformats.org/officeDocument/2006/relationships" ref="F369" r:id="rId361"/>
    <hyperlink xmlns:r="http://schemas.openxmlformats.org/officeDocument/2006/relationships" ref="F370" r:id="rId362"/>
    <hyperlink xmlns:r="http://schemas.openxmlformats.org/officeDocument/2006/relationships" ref="F371" r:id="rId363"/>
    <hyperlink xmlns:r="http://schemas.openxmlformats.org/officeDocument/2006/relationships" ref="F372" r:id="rId364"/>
    <hyperlink xmlns:r="http://schemas.openxmlformats.org/officeDocument/2006/relationships" ref="F373" r:id="rId365"/>
    <hyperlink xmlns:r="http://schemas.openxmlformats.org/officeDocument/2006/relationships" ref="F374" r:id="rId366"/>
    <hyperlink xmlns:r="http://schemas.openxmlformats.org/officeDocument/2006/relationships" ref="F375" r:id="rId367"/>
    <hyperlink xmlns:r="http://schemas.openxmlformats.org/officeDocument/2006/relationships" ref="F376" r:id="rId368"/>
    <hyperlink xmlns:r="http://schemas.openxmlformats.org/officeDocument/2006/relationships" ref="F377" r:id="rId369"/>
    <hyperlink xmlns:r="http://schemas.openxmlformats.org/officeDocument/2006/relationships" ref="F378" r:id="rId370"/>
    <hyperlink xmlns:r="http://schemas.openxmlformats.org/officeDocument/2006/relationships" ref="F379" r:id="rId371"/>
    <hyperlink xmlns:r="http://schemas.openxmlformats.org/officeDocument/2006/relationships" ref="F380" r:id="rId372"/>
    <hyperlink xmlns:r="http://schemas.openxmlformats.org/officeDocument/2006/relationships" ref="F381" r:id="rId373"/>
    <hyperlink xmlns:r="http://schemas.openxmlformats.org/officeDocument/2006/relationships" ref="F382" r:id="rId374"/>
    <hyperlink xmlns:r="http://schemas.openxmlformats.org/officeDocument/2006/relationships" ref="F383" r:id="rId375"/>
    <hyperlink xmlns:r="http://schemas.openxmlformats.org/officeDocument/2006/relationships" ref="F384" r:id="rId376"/>
    <hyperlink xmlns:r="http://schemas.openxmlformats.org/officeDocument/2006/relationships" ref="F385" r:id="rId377"/>
    <hyperlink xmlns:r="http://schemas.openxmlformats.org/officeDocument/2006/relationships" ref="F386" r:id="rId378"/>
    <hyperlink xmlns:r="http://schemas.openxmlformats.org/officeDocument/2006/relationships" ref="F387" r:id="rId379"/>
    <hyperlink xmlns:r="http://schemas.openxmlformats.org/officeDocument/2006/relationships" ref="F388" r:id="rId380"/>
    <hyperlink xmlns:r="http://schemas.openxmlformats.org/officeDocument/2006/relationships" ref="F389" r:id="rId381"/>
    <hyperlink xmlns:r="http://schemas.openxmlformats.org/officeDocument/2006/relationships" ref="F390" r:id="rId382"/>
    <hyperlink xmlns:r="http://schemas.openxmlformats.org/officeDocument/2006/relationships" ref="F391" r:id="rId383"/>
    <hyperlink xmlns:r="http://schemas.openxmlformats.org/officeDocument/2006/relationships" ref="F392" r:id="rId384"/>
    <hyperlink xmlns:r="http://schemas.openxmlformats.org/officeDocument/2006/relationships" ref="F393" r:id="rId385"/>
    <hyperlink xmlns:r="http://schemas.openxmlformats.org/officeDocument/2006/relationships" ref="F394" r:id="rId386"/>
    <hyperlink xmlns:r="http://schemas.openxmlformats.org/officeDocument/2006/relationships" ref="F395" r:id="rId387"/>
    <hyperlink xmlns:r="http://schemas.openxmlformats.org/officeDocument/2006/relationships" ref="F396" r:id="rId388"/>
    <hyperlink xmlns:r="http://schemas.openxmlformats.org/officeDocument/2006/relationships" ref="F397" r:id="rId389"/>
    <hyperlink xmlns:r="http://schemas.openxmlformats.org/officeDocument/2006/relationships" ref="F398" r:id="rId390"/>
    <hyperlink xmlns:r="http://schemas.openxmlformats.org/officeDocument/2006/relationships" ref="F399" r:id="rId391"/>
    <hyperlink xmlns:r="http://schemas.openxmlformats.org/officeDocument/2006/relationships" ref="F400" r:id="rId392"/>
    <hyperlink xmlns:r="http://schemas.openxmlformats.org/officeDocument/2006/relationships" ref="F401" r:id="rId393"/>
    <hyperlink xmlns:r="http://schemas.openxmlformats.org/officeDocument/2006/relationships" ref="F402" r:id="rId394"/>
    <hyperlink xmlns:r="http://schemas.openxmlformats.org/officeDocument/2006/relationships" ref="F403" r:id="rId395"/>
    <hyperlink xmlns:r="http://schemas.openxmlformats.org/officeDocument/2006/relationships" ref="F404" r:id="rId396"/>
    <hyperlink xmlns:r="http://schemas.openxmlformats.org/officeDocument/2006/relationships" ref="F405" r:id="rId397"/>
    <hyperlink xmlns:r="http://schemas.openxmlformats.org/officeDocument/2006/relationships" ref="F406" r:id="rId398"/>
    <hyperlink xmlns:r="http://schemas.openxmlformats.org/officeDocument/2006/relationships" ref="F407" r:id="rId399"/>
    <hyperlink xmlns:r="http://schemas.openxmlformats.org/officeDocument/2006/relationships" ref="F408" r:id="rId400"/>
    <hyperlink xmlns:r="http://schemas.openxmlformats.org/officeDocument/2006/relationships" ref="F409" r:id="rId401"/>
    <hyperlink xmlns:r="http://schemas.openxmlformats.org/officeDocument/2006/relationships" ref="F410" r:id="rId402"/>
    <hyperlink xmlns:r="http://schemas.openxmlformats.org/officeDocument/2006/relationships" ref="F411" r:id="rId403"/>
    <hyperlink xmlns:r="http://schemas.openxmlformats.org/officeDocument/2006/relationships" ref="F412" r:id="rId404"/>
    <hyperlink xmlns:r="http://schemas.openxmlformats.org/officeDocument/2006/relationships" ref="F413" r:id="rId405"/>
    <hyperlink xmlns:r="http://schemas.openxmlformats.org/officeDocument/2006/relationships" ref="F414" r:id="rId406"/>
    <hyperlink xmlns:r="http://schemas.openxmlformats.org/officeDocument/2006/relationships" ref="F415" r:id="rId407"/>
    <hyperlink xmlns:r="http://schemas.openxmlformats.org/officeDocument/2006/relationships" ref="F416" r:id="rId408"/>
    <hyperlink xmlns:r="http://schemas.openxmlformats.org/officeDocument/2006/relationships" ref="F417" r:id="rId409"/>
    <hyperlink xmlns:r="http://schemas.openxmlformats.org/officeDocument/2006/relationships" ref="F418" r:id="rId410"/>
    <hyperlink xmlns:r="http://schemas.openxmlformats.org/officeDocument/2006/relationships" ref="F419" r:id="rId411"/>
    <hyperlink xmlns:r="http://schemas.openxmlformats.org/officeDocument/2006/relationships" ref="F420" r:id="rId412"/>
    <hyperlink xmlns:r="http://schemas.openxmlformats.org/officeDocument/2006/relationships" ref="F421" r:id="rId413"/>
    <hyperlink xmlns:r="http://schemas.openxmlformats.org/officeDocument/2006/relationships" ref="F422" r:id="rId414"/>
    <hyperlink xmlns:r="http://schemas.openxmlformats.org/officeDocument/2006/relationships" ref="F423" r:id="rId415"/>
    <hyperlink xmlns:r="http://schemas.openxmlformats.org/officeDocument/2006/relationships" ref="F424" r:id="rId416"/>
    <hyperlink xmlns:r="http://schemas.openxmlformats.org/officeDocument/2006/relationships" ref="F425" r:id="rId417"/>
    <hyperlink xmlns:r="http://schemas.openxmlformats.org/officeDocument/2006/relationships" ref="F426" r:id="rId418"/>
    <hyperlink xmlns:r="http://schemas.openxmlformats.org/officeDocument/2006/relationships" ref="F427" r:id="rId419"/>
    <hyperlink xmlns:r="http://schemas.openxmlformats.org/officeDocument/2006/relationships" ref="F428" r:id="rId420"/>
    <hyperlink xmlns:r="http://schemas.openxmlformats.org/officeDocument/2006/relationships" ref="F429" r:id="rId421"/>
    <hyperlink xmlns:r="http://schemas.openxmlformats.org/officeDocument/2006/relationships" ref="F430" r:id="rId422"/>
    <hyperlink xmlns:r="http://schemas.openxmlformats.org/officeDocument/2006/relationships" ref="F431" r:id="rId423"/>
    <hyperlink xmlns:r="http://schemas.openxmlformats.org/officeDocument/2006/relationships" ref="F432" r:id="rId424"/>
    <hyperlink xmlns:r="http://schemas.openxmlformats.org/officeDocument/2006/relationships" ref="F433" r:id="rId425"/>
    <hyperlink xmlns:r="http://schemas.openxmlformats.org/officeDocument/2006/relationships" ref="F434" r:id="rId426"/>
    <hyperlink xmlns:r="http://schemas.openxmlformats.org/officeDocument/2006/relationships" ref="F435" r:id="rId427"/>
    <hyperlink xmlns:r="http://schemas.openxmlformats.org/officeDocument/2006/relationships" ref="F436" r:id="rId428"/>
    <hyperlink xmlns:r="http://schemas.openxmlformats.org/officeDocument/2006/relationships" ref="F437" r:id="rId429"/>
    <hyperlink xmlns:r="http://schemas.openxmlformats.org/officeDocument/2006/relationships" ref="F438" r:id="rId430"/>
    <hyperlink xmlns:r="http://schemas.openxmlformats.org/officeDocument/2006/relationships" ref="F439" r:id="rId431"/>
    <hyperlink xmlns:r="http://schemas.openxmlformats.org/officeDocument/2006/relationships" ref="F440" r:id="rId432"/>
    <hyperlink xmlns:r="http://schemas.openxmlformats.org/officeDocument/2006/relationships" ref="F441" r:id="rId433"/>
    <hyperlink xmlns:r="http://schemas.openxmlformats.org/officeDocument/2006/relationships" ref="F442" r:id="rId434"/>
    <hyperlink xmlns:r="http://schemas.openxmlformats.org/officeDocument/2006/relationships" ref="F443" r:id="rId435"/>
    <hyperlink xmlns:r="http://schemas.openxmlformats.org/officeDocument/2006/relationships" ref="F444" r:id="rId436"/>
    <hyperlink xmlns:r="http://schemas.openxmlformats.org/officeDocument/2006/relationships" ref="F445" r:id="rId437"/>
    <hyperlink xmlns:r="http://schemas.openxmlformats.org/officeDocument/2006/relationships" ref="F446" r:id="rId438"/>
    <hyperlink xmlns:r="http://schemas.openxmlformats.org/officeDocument/2006/relationships" ref="F447" r:id="rId439"/>
    <hyperlink xmlns:r="http://schemas.openxmlformats.org/officeDocument/2006/relationships" ref="F448" r:id="rId440"/>
    <hyperlink xmlns:r="http://schemas.openxmlformats.org/officeDocument/2006/relationships" ref="F449" r:id="rId441"/>
    <hyperlink xmlns:r="http://schemas.openxmlformats.org/officeDocument/2006/relationships" ref="F450" r:id="rId442"/>
    <hyperlink xmlns:r="http://schemas.openxmlformats.org/officeDocument/2006/relationships" ref="F451" r:id="rId443"/>
    <hyperlink xmlns:r="http://schemas.openxmlformats.org/officeDocument/2006/relationships" ref="F452" r:id="rId444"/>
    <hyperlink xmlns:r="http://schemas.openxmlformats.org/officeDocument/2006/relationships" ref="F453" r:id="rId445"/>
    <hyperlink xmlns:r="http://schemas.openxmlformats.org/officeDocument/2006/relationships" ref="F454" r:id="rId446"/>
    <hyperlink xmlns:r="http://schemas.openxmlformats.org/officeDocument/2006/relationships" ref="F455" r:id="rId447"/>
    <hyperlink xmlns:r="http://schemas.openxmlformats.org/officeDocument/2006/relationships" ref="F456" r:id="rId448"/>
    <hyperlink xmlns:r="http://schemas.openxmlformats.org/officeDocument/2006/relationships" ref="F457" r:id="rId449"/>
    <hyperlink xmlns:r="http://schemas.openxmlformats.org/officeDocument/2006/relationships" ref="F458" r:id="rId450"/>
    <hyperlink xmlns:r="http://schemas.openxmlformats.org/officeDocument/2006/relationships" ref="F459" r:id="rId451"/>
    <hyperlink xmlns:r="http://schemas.openxmlformats.org/officeDocument/2006/relationships" ref="F460" r:id="rId452"/>
    <hyperlink xmlns:r="http://schemas.openxmlformats.org/officeDocument/2006/relationships" ref="F461" r:id="rId453"/>
    <hyperlink xmlns:r="http://schemas.openxmlformats.org/officeDocument/2006/relationships" ref="F462" r:id="rId454"/>
    <hyperlink xmlns:r="http://schemas.openxmlformats.org/officeDocument/2006/relationships" ref="F463" r:id="rId455"/>
    <hyperlink xmlns:r="http://schemas.openxmlformats.org/officeDocument/2006/relationships" ref="F464" r:id="rId456"/>
    <hyperlink xmlns:r="http://schemas.openxmlformats.org/officeDocument/2006/relationships" ref="F465" r:id="rId457"/>
    <hyperlink xmlns:r="http://schemas.openxmlformats.org/officeDocument/2006/relationships" ref="F466" r:id="rId458"/>
    <hyperlink xmlns:r="http://schemas.openxmlformats.org/officeDocument/2006/relationships" ref="F467" r:id="rId459"/>
    <hyperlink xmlns:r="http://schemas.openxmlformats.org/officeDocument/2006/relationships" ref="F468" r:id="rId460"/>
    <hyperlink xmlns:r="http://schemas.openxmlformats.org/officeDocument/2006/relationships" ref="F469" r:id="rId461"/>
    <hyperlink xmlns:r="http://schemas.openxmlformats.org/officeDocument/2006/relationships" ref="F470" r:id="rId462"/>
    <hyperlink xmlns:r="http://schemas.openxmlformats.org/officeDocument/2006/relationships" ref="F471" r:id="rId463"/>
    <hyperlink xmlns:r="http://schemas.openxmlformats.org/officeDocument/2006/relationships" ref="F472" r:id="rId464"/>
    <hyperlink xmlns:r="http://schemas.openxmlformats.org/officeDocument/2006/relationships" ref="F473" r:id="rId465"/>
    <hyperlink xmlns:r="http://schemas.openxmlformats.org/officeDocument/2006/relationships" ref="F474" r:id="rId466"/>
    <hyperlink xmlns:r="http://schemas.openxmlformats.org/officeDocument/2006/relationships" ref="F475" r:id="rId467"/>
    <hyperlink xmlns:r="http://schemas.openxmlformats.org/officeDocument/2006/relationships" ref="F476" r:id="rId468"/>
    <hyperlink xmlns:r="http://schemas.openxmlformats.org/officeDocument/2006/relationships" ref="F477" r:id="rId469"/>
    <hyperlink xmlns:r="http://schemas.openxmlformats.org/officeDocument/2006/relationships" ref="F478" r:id="rId470"/>
    <hyperlink xmlns:r="http://schemas.openxmlformats.org/officeDocument/2006/relationships" ref="F479" r:id="rId471"/>
    <hyperlink xmlns:r="http://schemas.openxmlformats.org/officeDocument/2006/relationships" ref="F480" r:id="rId472"/>
    <hyperlink xmlns:r="http://schemas.openxmlformats.org/officeDocument/2006/relationships" ref="F481" r:id="rId473"/>
    <hyperlink xmlns:r="http://schemas.openxmlformats.org/officeDocument/2006/relationships" ref="F482" r:id="rId474"/>
    <hyperlink xmlns:r="http://schemas.openxmlformats.org/officeDocument/2006/relationships" ref="F483" r:id="rId475"/>
    <hyperlink xmlns:r="http://schemas.openxmlformats.org/officeDocument/2006/relationships" ref="F484" r:id="rId476"/>
    <hyperlink xmlns:r="http://schemas.openxmlformats.org/officeDocument/2006/relationships" ref="F485" r:id="rId477"/>
    <hyperlink xmlns:r="http://schemas.openxmlformats.org/officeDocument/2006/relationships" ref="F486" r:id="rId478"/>
    <hyperlink xmlns:r="http://schemas.openxmlformats.org/officeDocument/2006/relationships" ref="F487" r:id="rId479"/>
    <hyperlink xmlns:r="http://schemas.openxmlformats.org/officeDocument/2006/relationships" ref="F488" r:id="rId480"/>
    <hyperlink xmlns:r="http://schemas.openxmlformats.org/officeDocument/2006/relationships" ref="F489" r:id="rId481"/>
    <hyperlink xmlns:r="http://schemas.openxmlformats.org/officeDocument/2006/relationships" ref="F490" r:id="rId482"/>
    <hyperlink xmlns:r="http://schemas.openxmlformats.org/officeDocument/2006/relationships" ref="F491" r:id="rId483"/>
    <hyperlink xmlns:r="http://schemas.openxmlformats.org/officeDocument/2006/relationships" ref="F492" r:id="rId484"/>
    <hyperlink xmlns:r="http://schemas.openxmlformats.org/officeDocument/2006/relationships" ref="F493" r:id="rId485"/>
    <hyperlink xmlns:r="http://schemas.openxmlformats.org/officeDocument/2006/relationships" ref="F494" r:id="rId486"/>
    <hyperlink xmlns:r="http://schemas.openxmlformats.org/officeDocument/2006/relationships" ref="F495" r:id="rId487"/>
    <hyperlink xmlns:r="http://schemas.openxmlformats.org/officeDocument/2006/relationships" ref="F496" r:id="rId488"/>
    <hyperlink xmlns:r="http://schemas.openxmlformats.org/officeDocument/2006/relationships" ref="F497" r:id="rId489"/>
    <hyperlink xmlns:r="http://schemas.openxmlformats.org/officeDocument/2006/relationships" ref="F498" r:id="rId490"/>
    <hyperlink xmlns:r="http://schemas.openxmlformats.org/officeDocument/2006/relationships" ref="F499" r:id="rId491"/>
    <hyperlink xmlns:r="http://schemas.openxmlformats.org/officeDocument/2006/relationships" ref="F500" r:id="rId492"/>
    <hyperlink xmlns:r="http://schemas.openxmlformats.org/officeDocument/2006/relationships" ref="F501" r:id="rId493"/>
    <hyperlink xmlns:r="http://schemas.openxmlformats.org/officeDocument/2006/relationships" ref="F502" r:id="rId494"/>
    <hyperlink xmlns:r="http://schemas.openxmlformats.org/officeDocument/2006/relationships" ref="F503" r:id="rId495"/>
    <hyperlink xmlns:r="http://schemas.openxmlformats.org/officeDocument/2006/relationships" ref="F504" r:id="rId496"/>
    <hyperlink xmlns:r="http://schemas.openxmlformats.org/officeDocument/2006/relationships" ref="F505" r:id="rId497"/>
    <hyperlink xmlns:r="http://schemas.openxmlformats.org/officeDocument/2006/relationships" ref="F506" r:id="rId498"/>
    <hyperlink xmlns:r="http://schemas.openxmlformats.org/officeDocument/2006/relationships" ref="F507" r:id="rId499"/>
    <hyperlink xmlns:r="http://schemas.openxmlformats.org/officeDocument/2006/relationships" ref="F508" r:id="rId500"/>
    <hyperlink xmlns:r="http://schemas.openxmlformats.org/officeDocument/2006/relationships" ref="F509" r:id="rId501"/>
    <hyperlink xmlns:r="http://schemas.openxmlformats.org/officeDocument/2006/relationships" ref="F510" r:id="rId502"/>
    <hyperlink xmlns:r="http://schemas.openxmlformats.org/officeDocument/2006/relationships" ref="F511" r:id="rId503"/>
    <hyperlink xmlns:r="http://schemas.openxmlformats.org/officeDocument/2006/relationships" ref="F512" r:id="rId504"/>
    <hyperlink xmlns:r="http://schemas.openxmlformats.org/officeDocument/2006/relationships" ref="F513" r:id="rId505"/>
    <hyperlink xmlns:r="http://schemas.openxmlformats.org/officeDocument/2006/relationships" ref="F514" r:id="rId506"/>
    <hyperlink xmlns:r="http://schemas.openxmlformats.org/officeDocument/2006/relationships" ref="F515" r:id="rId507"/>
    <hyperlink xmlns:r="http://schemas.openxmlformats.org/officeDocument/2006/relationships" ref="F516" r:id="rId508"/>
    <hyperlink xmlns:r="http://schemas.openxmlformats.org/officeDocument/2006/relationships" ref="F517" r:id="rId509"/>
    <hyperlink xmlns:r="http://schemas.openxmlformats.org/officeDocument/2006/relationships" ref="F518" r:id="rId510"/>
    <hyperlink xmlns:r="http://schemas.openxmlformats.org/officeDocument/2006/relationships" ref="F519" r:id="rId511"/>
    <hyperlink xmlns:r="http://schemas.openxmlformats.org/officeDocument/2006/relationships" ref="F520" r:id="rId512"/>
    <hyperlink xmlns:r="http://schemas.openxmlformats.org/officeDocument/2006/relationships" ref="F521" r:id="rId513"/>
    <hyperlink xmlns:r="http://schemas.openxmlformats.org/officeDocument/2006/relationships" ref="F522" r:id="rId514"/>
    <hyperlink xmlns:r="http://schemas.openxmlformats.org/officeDocument/2006/relationships" ref="F523" r:id="rId515"/>
    <hyperlink xmlns:r="http://schemas.openxmlformats.org/officeDocument/2006/relationships" ref="F524" r:id="rId516"/>
    <hyperlink xmlns:r="http://schemas.openxmlformats.org/officeDocument/2006/relationships" ref="F525" r:id="rId517"/>
    <hyperlink xmlns:r="http://schemas.openxmlformats.org/officeDocument/2006/relationships" ref="F526" r:id="rId518"/>
    <hyperlink xmlns:r="http://schemas.openxmlformats.org/officeDocument/2006/relationships" ref="F527" r:id="rId519"/>
    <hyperlink xmlns:r="http://schemas.openxmlformats.org/officeDocument/2006/relationships" ref="F528" r:id="rId520"/>
    <hyperlink xmlns:r="http://schemas.openxmlformats.org/officeDocument/2006/relationships" ref="F529" r:id="rId521"/>
    <hyperlink xmlns:r="http://schemas.openxmlformats.org/officeDocument/2006/relationships" ref="F530" r:id="rId522"/>
    <hyperlink xmlns:r="http://schemas.openxmlformats.org/officeDocument/2006/relationships" ref="F531" r:id="rId523"/>
    <hyperlink xmlns:r="http://schemas.openxmlformats.org/officeDocument/2006/relationships" ref="F532" r:id="rId524"/>
    <hyperlink xmlns:r="http://schemas.openxmlformats.org/officeDocument/2006/relationships" ref="F533" r:id="rId525"/>
    <hyperlink xmlns:r="http://schemas.openxmlformats.org/officeDocument/2006/relationships" ref="F534" r:id="rId526"/>
    <hyperlink xmlns:r="http://schemas.openxmlformats.org/officeDocument/2006/relationships" ref="F535" r:id="rId527"/>
    <hyperlink xmlns:r="http://schemas.openxmlformats.org/officeDocument/2006/relationships" ref="F536" r:id="rId528"/>
    <hyperlink xmlns:r="http://schemas.openxmlformats.org/officeDocument/2006/relationships" ref="F537" r:id="rId529"/>
    <hyperlink xmlns:r="http://schemas.openxmlformats.org/officeDocument/2006/relationships" ref="F538" r:id="rId530"/>
    <hyperlink xmlns:r="http://schemas.openxmlformats.org/officeDocument/2006/relationships" ref="F539" r:id="rId531"/>
    <hyperlink xmlns:r="http://schemas.openxmlformats.org/officeDocument/2006/relationships" ref="F540" r:id="rId532"/>
    <hyperlink xmlns:r="http://schemas.openxmlformats.org/officeDocument/2006/relationships" ref="F541" r:id="rId533"/>
    <hyperlink xmlns:r="http://schemas.openxmlformats.org/officeDocument/2006/relationships" ref="F542" r:id="rId534"/>
    <hyperlink xmlns:r="http://schemas.openxmlformats.org/officeDocument/2006/relationships" ref="F543" r:id="rId535"/>
    <hyperlink xmlns:r="http://schemas.openxmlformats.org/officeDocument/2006/relationships" ref="F544" r:id="rId536"/>
    <hyperlink xmlns:r="http://schemas.openxmlformats.org/officeDocument/2006/relationships" ref="F545" r:id="rId537"/>
    <hyperlink xmlns:r="http://schemas.openxmlformats.org/officeDocument/2006/relationships" ref="F546" r:id="rId538"/>
    <hyperlink xmlns:r="http://schemas.openxmlformats.org/officeDocument/2006/relationships" ref="F547" r:id="rId539"/>
    <hyperlink xmlns:r="http://schemas.openxmlformats.org/officeDocument/2006/relationships" ref="F548" r:id="rId540"/>
    <hyperlink xmlns:r="http://schemas.openxmlformats.org/officeDocument/2006/relationships" ref="F549" r:id="rId541"/>
    <hyperlink xmlns:r="http://schemas.openxmlformats.org/officeDocument/2006/relationships" ref="F550" r:id="rId542"/>
    <hyperlink xmlns:r="http://schemas.openxmlformats.org/officeDocument/2006/relationships" ref="F551" r:id="rId543"/>
    <hyperlink xmlns:r="http://schemas.openxmlformats.org/officeDocument/2006/relationships" ref="F552" r:id="rId544"/>
    <hyperlink xmlns:r="http://schemas.openxmlformats.org/officeDocument/2006/relationships" ref="F553" r:id="rId545"/>
    <hyperlink xmlns:r="http://schemas.openxmlformats.org/officeDocument/2006/relationships" ref="F554" r:id="rId546"/>
    <hyperlink xmlns:r="http://schemas.openxmlformats.org/officeDocument/2006/relationships" ref="F555" r:id="rId547"/>
    <hyperlink xmlns:r="http://schemas.openxmlformats.org/officeDocument/2006/relationships" ref="F556" r:id="rId548"/>
    <hyperlink xmlns:r="http://schemas.openxmlformats.org/officeDocument/2006/relationships" ref="F557" r:id="rId549"/>
    <hyperlink xmlns:r="http://schemas.openxmlformats.org/officeDocument/2006/relationships" ref="F558" r:id="rId550"/>
    <hyperlink xmlns:r="http://schemas.openxmlformats.org/officeDocument/2006/relationships" ref="F559" r:id="rId551"/>
    <hyperlink xmlns:r="http://schemas.openxmlformats.org/officeDocument/2006/relationships" ref="F560" r:id="rId552"/>
    <hyperlink xmlns:r="http://schemas.openxmlformats.org/officeDocument/2006/relationships" ref="F561" r:id="rId553"/>
    <hyperlink xmlns:r="http://schemas.openxmlformats.org/officeDocument/2006/relationships" ref="F562" r:id="rId554"/>
    <hyperlink xmlns:r="http://schemas.openxmlformats.org/officeDocument/2006/relationships" ref="F563" r:id="rId555"/>
    <hyperlink xmlns:r="http://schemas.openxmlformats.org/officeDocument/2006/relationships" ref="F564" r:id="rId556"/>
    <hyperlink xmlns:r="http://schemas.openxmlformats.org/officeDocument/2006/relationships" ref="F565" r:id="rId557"/>
    <hyperlink xmlns:r="http://schemas.openxmlformats.org/officeDocument/2006/relationships" ref="F566" r:id="rId558"/>
    <hyperlink xmlns:r="http://schemas.openxmlformats.org/officeDocument/2006/relationships" ref="F567" r:id="rId559"/>
    <hyperlink xmlns:r="http://schemas.openxmlformats.org/officeDocument/2006/relationships" ref="F568" r:id="rId560"/>
    <hyperlink xmlns:r="http://schemas.openxmlformats.org/officeDocument/2006/relationships" ref="F569" r:id="rId561"/>
    <hyperlink xmlns:r="http://schemas.openxmlformats.org/officeDocument/2006/relationships" ref="F570" r:id="rId562"/>
    <hyperlink xmlns:r="http://schemas.openxmlformats.org/officeDocument/2006/relationships" ref="F571" r:id="rId563"/>
    <hyperlink xmlns:r="http://schemas.openxmlformats.org/officeDocument/2006/relationships" ref="F572" r:id="rId564"/>
    <hyperlink xmlns:r="http://schemas.openxmlformats.org/officeDocument/2006/relationships" ref="F573" r:id="rId565"/>
    <hyperlink xmlns:r="http://schemas.openxmlformats.org/officeDocument/2006/relationships" ref="F574" r:id="rId566"/>
    <hyperlink xmlns:r="http://schemas.openxmlformats.org/officeDocument/2006/relationships" ref="F575" r:id="rId567"/>
    <hyperlink xmlns:r="http://schemas.openxmlformats.org/officeDocument/2006/relationships" ref="F576" r:id="rId568"/>
    <hyperlink xmlns:r="http://schemas.openxmlformats.org/officeDocument/2006/relationships" ref="F577" r:id="rId569"/>
    <hyperlink xmlns:r="http://schemas.openxmlformats.org/officeDocument/2006/relationships" ref="F578" r:id="rId570"/>
    <hyperlink xmlns:r="http://schemas.openxmlformats.org/officeDocument/2006/relationships" ref="F579" r:id="rId571"/>
    <hyperlink xmlns:r="http://schemas.openxmlformats.org/officeDocument/2006/relationships" ref="F580" r:id="rId572"/>
    <hyperlink xmlns:r="http://schemas.openxmlformats.org/officeDocument/2006/relationships" ref="F581" r:id="rId573"/>
    <hyperlink xmlns:r="http://schemas.openxmlformats.org/officeDocument/2006/relationships" ref="F582" r:id="rId574"/>
    <hyperlink xmlns:r="http://schemas.openxmlformats.org/officeDocument/2006/relationships" ref="F583" r:id="rId575"/>
    <hyperlink xmlns:r="http://schemas.openxmlformats.org/officeDocument/2006/relationships" ref="F584" r:id="rId576"/>
    <hyperlink xmlns:r="http://schemas.openxmlformats.org/officeDocument/2006/relationships" ref="F585" r:id="rId577"/>
    <hyperlink xmlns:r="http://schemas.openxmlformats.org/officeDocument/2006/relationships" ref="F586" r:id="rId578"/>
    <hyperlink xmlns:r="http://schemas.openxmlformats.org/officeDocument/2006/relationships" ref="F587" r:id="rId579"/>
    <hyperlink xmlns:r="http://schemas.openxmlformats.org/officeDocument/2006/relationships" ref="F588" r:id="rId580"/>
    <hyperlink xmlns:r="http://schemas.openxmlformats.org/officeDocument/2006/relationships" ref="F589" r:id="rId581"/>
    <hyperlink xmlns:r="http://schemas.openxmlformats.org/officeDocument/2006/relationships" ref="F590" r:id="rId582"/>
    <hyperlink xmlns:r="http://schemas.openxmlformats.org/officeDocument/2006/relationships" ref="F591" r:id="rId583"/>
    <hyperlink xmlns:r="http://schemas.openxmlformats.org/officeDocument/2006/relationships" ref="F592" r:id="rId584"/>
    <hyperlink xmlns:r="http://schemas.openxmlformats.org/officeDocument/2006/relationships" ref="F593" r:id="rId585"/>
    <hyperlink xmlns:r="http://schemas.openxmlformats.org/officeDocument/2006/relationships" ref="F594" r:id="rId586"/>
    <hyperlink xmlns:r="http://schemas.openxmlformats.org/officeDocument/2006/relationships" ref="F595" r:id="rId587"/>
    <hyperlink xmlns:r="http://schemas.openxmlformats.org/officeDocument/2006/relationships" ref="F596" r:id="rId588"/>
    <hyperlink xmlns:r="http://schemas.openxmlformats.org/officeDocument/2006/relationships" ref="F597" r:id="rId589"/>
    <hyperlink xmlns:r="http://schemas.openxmlformats.org/officeDocument/2006/relationships" ref="F598" r:id="rId590"/>
    <hyperlink xmlns:r="http://schemas.openxmlformats.org/officeDocument/2006/relationships" ref="F599" r:id="rId591"/>
    <hyperlink xmlns:r="http://schemas.openxmlformats.org/officeDocument/2006/relationships" ref="F600" r:id="rId592"/>
    <hyperlink xmlns:r="http://schemas.openxmlformats.org/officeDocument/2006/relationships" ref="F601" r:id="rId593"/>
    <hyperlink xmlns:r="http://schemas.openxmlformats.org/officeDocument/2006/relationships" ref="F602" r:id="rId594"/>
    <hyperlink xmlns:r="http://schemas.openxmlformats.org/officeDocument/2006/relationships" ref="F603" r:id="rId595"/>
    <hyperlink xmlns:r="http://schemas.openxmlformats.org/officeDocument/2006/relationships" ref="F604" r:id="rId596"/>
    <hyperlink xmlns:r="http://schemas.openxmlformats.org/officeDocument/2006/relationships" ref="F605" r:id="rId597"/>
    <hyperlink xmlns:r="http://schemas.openxmlformats.org/officeDocument/2006/relationships" ref="F606" r:id="rId598"/>
    <hyperlink xmlns:r="http://schemas.openxmlformats.org/officeDocument/2006/relationships" ref="F607" r:id="rId599"/>
    <hyperlink xmlns:r="http://schemas.openxmlformats.org/officeDocument/2006/relationships" ref="F608" r:id="rId600"/>
    <hyperlink xmlns:r="http://schemas.openxmlformats.org/officeDocument/2006/relationships" ref="F609" r:id="rId601"/>
    <hyperlink xmlns:r="http://schemas.openxmlformats.org/officeDocument/2006/relationships" ref="F610" r:id="rId602"/>
    <hyperlink xmlns:r="http://schemas.openxmlformats.org/officeDocument/2006/relationships" ref="F611" r:id="rId603"/>
    <hyperlink xmlns:r="http://schemas.openxmlformats.org/officeDocument/2006/relationships" ref="F612" r:id="rId604"/>
    <hyperlink xmlns:r="http://schemas.openxmlformats.org/officeDocument/2006/relationships" ref="F613" r:id="rId605"/>
    <hyperlink xmlns:r="http://schemas.openxmlformats.org/officeDocument/2006/relationships" ref="F614" r:id="rId606"/>
    <hyperlink xmlns:r="http://schemas.openxmlformats.org/officeDocument/2006/relationships" ref="F615" r:id="rId607"/>
    <hyperlink xmlns:r="http://schemas.openxmlformats.org/officeDocument/2006/relationships" ref="F616" r:id="rId608"/>
    <hyperlink xmlns:r="http://schemas.openxmlformats.org/officeDocument/2006/relationships" ref="F617" r:id="rId609"/>
    <hyperlink xmlns:r="http://schemas.openxmlformats.org/officeDocument/2006/relationships" ref="F618" r:id="rId610"/>
    <hyperlink xmlns:r="http://schemas.openxmlformats.org/officeDocument/2006/relationships" ref="F619" r:id="rId611"/>
    <hyperlink xmlns:r="http://schemas.openxmlformats.org/officeDocument/2006/relationships" ref="F620" r:id="rId612"/>
    <hyperlink xmlns:r="http://schemas.openxmlformats.org/officeDocument/2006/relationships" ref="F621" r:id="rId613"/>
    <hyperlink xmlns:r="http://schemas.openxmlformats.org/officeDocument/2006/relationships" ref="F622" r:id="rId614"/>
    <hyperlink xmlns:r="http://schemas.openxmlformats.org/officeDocument/2006/relationships" ref="F623" r:id="rId615"/>
    <hyperlink xmlns:r="http://schemas.openxmlformats.org/officeDocument/2006/relationships" ref="F624" r:id="rId616"/>
    <hyperlink xmlns:r="http://schemas.openxmlformats.org/officeDocument/2006/relationships" ref="F625" r:id="rId617"/>
    <hyperlink xmlns:r="http://schemas.openxmlformats.org/officeDocument/2006/relationships" ref="F626" r:id="rId618"/>
    <hyperlink xmlns:r="http://schemas.openxmlformats.org/officeDocument/2006/relationships" ref="F627" r:id="rId619"/>
    <hyperlink xmlns:r="http://schemas.openxmlformats.org/officeDocument/2006/relationships" ref="F628" r:id="rId620"/>
    <hyperlink xmlns:r="http://schemas.openxmlformats.org/officeDocument/2006/relationships" ref="F630" r:id="rId621"/>
    <hyperlink xmlns:r="http://schemas.openxmlformats.org/officeDocument/2006/relationships" ref="F631" r:id="rId622"/>
    <hyperlink xmlns:r="http://schemas.openxmlformats.org/officeDocument/2006/relationships" ref="F633" r:id="rId623"/>
    <hyperlink xmlns:r="http://schemas.openxmlformats.org/officeDocument/2006/relationships" ref="F634" r:id="rId624"/>
    <hyperlink xmlns:r="http://schemas.openxmlformats.org/officeDocument/2006/relationships" ref="F635" r:id="rId625"/>
    <hyperlink xmlns:r="http://schemas.openxmlformats.org/officeDocument/2006/relationships" ref="F636" r:id="rId626"/>
    <hyperlink xmlns:r="http://schemas.openxmlformats.org/officeDocument/2006/relationships" ref="F637" r:id="rId627"/>
    <hyperlink xmlns:r="http://schemas.openxmlformats.org/officeDocument/2006/relationships" ref="F638" r:id="rId628"/>
    <hyperlink xmlns:r="http://schemas.openxmlformats.org/officeDocument/2006/relationships" ref="F639" r:id="rId629"/>
    <hyperlink xmlns:r="http://schemas.openxmlformats.org/officeDocument/2006/relationships" ref="F640" r:id="rId630"/>
    <hyperlink xmlns:r="http://schemas.openxmlformats.org/officeDocument/2006/relationships" ref="F641" r:id="rId631"/>
    <hyperlink xmlns:r="http://schemas.openxmlformats.org/officeDocument/2006/relationships" ref="F642" r:id="rId632"/>
    <hyperlink xmlns:r="http://schemas.openxmlformats.org/officeDocument/2006/relationships" ref="F643" r:id="rId633"/>
    <hyperlink xmlns:r="http://schemas.openxmlformats.org/officeDocument/2006/relationships" ref="F644" r:id="rId634"/>
    <hyperlink xmlns:r="http://schemas.openxmlformats.org/officeDocument/2006/relationships" ref="F645" r:id="rId635"/>
    <hyperlink xmlns:r="http://schemas.openxmlformats.org/officeDocument/2006/relationships" ref="F646" r:id="rId636"/>
    <hyperlink xmlns:r="http://schemas.openxmlformats.org/officeDocument/2006/relationships" ref="F647" r:id="rId637"/>
    <hyperlink xmlns:r="http://schemas.openxmlformats.org/officeDocument/2006/relationships" ref="F648" r:id="rId638"/>
    <hyperlink xmlns:r="http://schemas.openxmlformats.org/officeDocument/2006/relationships" ref="F649" r:id="rId639"/>
    <hyperlink xmlns:r="http://schemas.openxmlformats.org/officeDocument/2006/relationships" ref="F650" r:id="rId640"/>
    <hyperlink xmlns:r="http://schemas.openxmlformats.org/officeDocument/2006/relationships" ref="F651" r:id="rId641"/>
    <hyperlink xmlns:r="http://schemas.openxmlformats.org/officeDocument/2006/relationships" ref="F652" r:id="rId642"/>
    <hyperlink xmlns:r="http://schemas.openxmlformats.org/officeDocument/2006/relationships" ref="F653" r:id="rId643"/>
    <hyperlink xmlns:r="http://schemas.openxmlformats.org/officeDocument/2006/relationships" ref="F654" r:id="rId644"/>
    <hyperlink xmlns:r="http://schemas.openxmlformats.org/officeDocument/2006/relationships" ref="F655" r:id="rId645"/>
    <hyperlink xmlns:r="http://schemas.openxmlformats.org/officeDocument/2006/relationships" ref="F656" r:id="rId646"/>
    <hyperlink xmlns:r="http://schemas.openxmlformats.org/officeDocument/2006/relationships" ref="F657" r:id="rId647"/>
    <hyperlink xmlns:r="http://schemas.openxmlformats.org/officeDocument/2006/relationships" ref="F658" r:id="rId648"/>
    <hyperlink xmlns:r="http://schemas.openxmlformats.org/officeDocument/2006/relationships" ref="F659" r:id="rId649"/>
    <hyperlink xmlns:r="http://schemas.openxmlformats.org/officeDocument/2006/relationships" ref="F660" r:id="rId650"/>
    <hyperlink xmlns:r="http://schemas.openxmlformats.org/officeDocument/2006/relationships" ref="F661" r:id="rId651"/>
    <hyperlink xmlns:r="http://schemas.openxmlformats.org/officeDocument/2006/relationships" ref="F662" r:id="rId652"/>
    <hyperlink xmlns:r="http://schemas.openxmlformats.org/officeDocument/2006/relationships" ref="F663" r:id="rId653"/>
    <hyperlink xmlns:r="http://schemas.openxmlformats.org/officeDocument/2006/relationships" ref="F664" r:id="rId654"/>
    <hyperlink xmlns:r="http://schemas.openxmlformats.org/officeDocument/2006/relationships" ref="F665" r:id="rId655"/>
    <hyperlink xmlns:r="http://schemas.openxmlformats.org/officeDocument/2006/relationships" ref="F666" r:id="rId656"/>
    <hyperlink xmlns:r="http://schemas.openxmlformats.org/officeDocument/2006/relationships" ref="F667" r:id="rId657"/>
    <hyperlink xmlns:r="http://schemas.openxmlformats.org/officeDocument/2006/relationships" ref="F668" r:id="rId658"/>
    <hyperlink xmlns:r="http://schemas.openxmlformats.org/officeDocument/2006/relationships" ref="F669" r:id="rId659"/>
    <hyperlink xmlns:r="http://schemas.openxmlformats.org/officeDocument/2006/relationships" ref="F670" r:id="rId660"/>
    <hyperlink xmlns:r="http://schemas.openxmlformats.org/officeDocument/2006/relationships" ref="F671" r:id="rId661"/>
    <hyperlink xmlns:r="http://schemas.openxmlformats.org/officeDocument/2006/relationships" ref="F672" r:id="rId662"/>
    <hyperlink xmlns:r="http://schemas.openxmlformats.org/officeDocument/2006/relationships" ref="F673" r:id="rId663"/>
    <hyperlink xmlns:r="http://schemas.openxmlformats.org/officeDocument/2006/relationships" ref="F674" r:id="rId664"/>
    <hyperlink xmlns:r="http://schemas.openxmlformats.org/officeDocument/2006/relationships" ref="F675" r:id="rId665"/>
    <hyperlink xmlns:r="http://schemas.openxmlformats.org/officeDocument/2006/relationships" ref="F676" r:id="rId666"/>
    <hyperlink xmlns:r="http://schemas.openxmlformats.org/officeDocument/2006/relationships" ref="F677" r:id="rId667"/>
    <hyperlink xmlns:r="http://schemas.openxmlformats.org/officeDocument/2006/relationships" ref="F678" r:id="rId668"/>
    <hyperlink xmlns:r="http://schemas.openxmlformats.org/officeDocument/2006/relationships" ref="F679" r:id="rId669"/>
    <hyperlink xmlns:r="http://schemas.openxmlformats.org/officeDocument/2006/relationships" ref="F680" r:id="rId670"/>
    <hyperlink xmlns:r="http://schemas.openxmlformats.org/officeDocument/2006/relationships" ref="F681" r:id="rId671"/>
    <hyperlink xmlns:r="http://schemas.openxmlformats.org/officeDocument/2006/relationships" ref="F682" r:id="rId672"/>
    <hyperlink xmlns:r="http://schemas.openxmlformats.org/officeDocument/2006/relationships" ref="F683" r:id="rId673"/>
    <hyperlink xmlns:r="http://schemas.openxmlformats.org/officeDocument/2006/relationships" ref="F684" r:id="rId674"/>
    <hyperlink xmlns:r="http://schemas.openxmlformats.org/officeDocument/2006/relationships" ref="F685" r:id="rId675"/>
    <hyperlink xmlns:r="http://schemas.openxmlformats.org/officeDocument/2006/relationships" ref="F686" r:id="rId676"/>
    <hyperlink xmlns:r="http://schemas.openxmlformats.org/officeDocument/2006/relationships" ref="F687" r:id="rId677"/>
    <hyperlink xmlns:r="http://schemas.openxmlformats.org/officeDocument/2006/relationships" ref="F688" r:id="rId678"/>
    <hyperlink xmlns:r="http://schemas.openxmlformats.org/officeDocument/2006/relationships" ref="F689" r:id="rId679"/>
    <hyperlink xmlns:r="http://schemas.openxmlformats.org/officeDocument/2006/relationships" ref="F690" r:id="rId680"/>
    <hyperlink xmlns:r="http://schemas.openxmlformats.org/officeDocument/2006/relationships" ref="F691" r:id="rId681"/>
    <hyperlink xmlns:r="http://schemas.openxmlformats.org/officeDocument/2006/relationships" ref="F692" r:id="rId682"/>
    <hyperlink xmlns:r="http://schemas.openxmlformats.org/officeDocument/2006/relationships" ref="F693" r:id="rId683"/>
    <hyperlink xmlns:r="http://schemas.openxmlformats.org/officeDocument/2006/relationships" ref="F694" r:id="rId684"/>
    <hyperlink xmlns:r="http://schemas.openxmlformats.org/officeDocument/2006/relationships" ref="F695" r:id="rId685"/>
    <hyperlink xmlns:r="http://schemas.openxmlformats.org/officeDocument/2006/relationships" ref="F696" r:id="rId686"/>
    <hyperlink xmlns:r="http://schemas.openxmlformats.org/officeDocument/2006/relationships" ref="F697" r:id="rId687"/>
    <hyperlink xmlns:r="http://schemas.openxmlformats.org/officeDocument/2006/relationships" ref="F698" r:id="rId688"/>
    <hyperlink xmlns:r="http://schemas.openxmlformats.org/officeDocument/2006/relationships" ref="F699" r:id="rId689"/>
    <hyperlink xmlns:r="http://schemas.openxmlformats.org/officeDocument/2006/relationships" ref="F700" r:id="rId690"/>
    <hyperlink xmlns:r="http://schemas.openxmlformats.org/officeDocument/2006/relationships" ref="F701" r:id="rId691"/>
    <hyperlink xmlns:r="http://schemas.openxmlformats.org/officeDocument/2006/relationships" ref="F702" r:id="rId692"/>
    <hyperlink xmlns:r="http://schemas.openxmlformats.org/officeDocument/2006/relationships" ref="F703" r:id="rId693"/>
    <hyperlink xmlns:r="http://schemas.openxmlformats.org/officeDocument/2006/relationships" ref="F704" r:id="rId694"/>
    <hyperlink xmlns:r="http://schemas.openxmlformats.org/officeDocument/2006/relationships" ref="F705" r:id="rId695"/>
    <hyperlink xmlns:r="http://schemas.openxmlformats.org/officeDocument/2006/relationships" ref="F706" r:id="rId696"/>
    <hyperlink xmlns:r="http://schemas.openxmlformats.org/officeDocument/2006/relationships" ref="F707" r:id="rId697"/>
    <hyperlink xmlns:r="http://schemas.openxmlformats.org/officeDocument/2006/relationships" ref="F708" r:id="rId698"/>
    <hyperlink xmlns:r="http://schemas.openxmlformats.org/officeDocument/2006/relationships" ref="F709" r:id="rId699"/>
    <hyperlink xmlns:r="http://schemas.openxmlformats.org/officeDocument/2006/relationships" ref="F710" r:id="rId700"/>
    <hyperlink xmlns:r="http://schemas.openxmlformats.org/officeDocument/2006/relationships" ref="F711" r:id="rId701"/>
    <hyperlink xmlns:r="http://schemas.openxmlformats.org/officeDocument/2006/relationships" ref="F712" r:id="rId702"/>
    <hyperlink xmlns:r="http://schemas.openxmlformats.org/officeDocument/2006/relationships" ref="F713" r:id="rId703"/>
    <hyperlink xmlns:r="http://schemas.openxmlformats.org/officeDocument/2006/relationships" ref="F714" r:id="rId704"/>
    <hyperlink xmlns:r="http://schemas.openxmlformats.org/officeDocument/2006/relationships" ref="F715" r:id="rId705"/>
    <hyperlink xmlns:r="http://schemas.openxmlformats.org/officeDocument/2006/relationships" ref="F716" r:id="rId706"/>
    <hyperlink xmlns:r="http://schemas.openxmlformats.org/officeDocument/2006/relationships" ref="F717" r:id="rId707"/>
    <hyperlink xmlns:r="http://schemas.openxmlformats.org/officeDocument/2006/relationships" ref="F718" r:id="rId708"/>
    <hyperlink xmlns:r="http://schemas.openxmlformats.org/officeDocument/2006/relationships" ref="F719" r:id="rId709"/>
    <hyperlink xmlns:r="http://schemas.openxmlformats.org/officeDocument/2006/relationships" ref="F720" r:id="rId710"/>
    <hyperlink xmlns:r="http://schemas.openxmlformats.org/officeDocument/2006/relationships" ref="F721" r:id="rId711"/>
    <hyperlink xmlns:r="http://schemas.openxmlformats.org/officeDocument/2006/relationships" ref="F722" r:id="rId712"/>
    <hyperlink xmlns:r="http://schemas.openxmlformats.org/officeDocument/2006/relationships" ref="F723" r:id="rId713"/>
    <hyperlink xmlns:r="http://schemas.openxmlformats.org/officeDocument/2006/relationships" ref="F724" r:id="rId714"/>
    <hyperlink xmlns:r="http://schemas.openxmlformats.org/officeDocument/2006/relationships" ref="F725" r:id="rId715"/>
    <hyperlink xmlns:r="http://schemas.openxmlformats.org/officeDocument/2006/relationships" ref="F726" r:id="rId716"/>
    <hyperlink xmlns:r="http://schemas.openxmlformats.org/officeDocument/2006/relationships" ref="F727" r:id="rId717"/>
    <hyperlink xmlns:r="http://schemas.openxmlformats.org/officeDocument/2006/relationships" ref="F728" r:id="rId718"/>
    <hyperlink xmlns:r="http://schemas.openxmlformats.org/officeDocument/2006/relationships" ref="F729" r:id="rId719"/>
    <hyperlink xmlns:r="http://schemas.openxmlformats.org/officeDocument/2006/relationships" ref="F730" r:id="rId720"/>
    <hyperlink xmlns:r="http://schemas.openxmlformats.org/officeDocument/2006/relationships" ref="F731" r:id="rId721"/>
    <hyperlink xmlns:r="http://schemas.openxmlformats.org/officeDocument/2006/relationships" ref="F732" r:id="rId722"/>
    <hyperlink xmlns:r="http://schemas.openxmlformats.org/officeDocument/2006/relationships" ref="F733" r:id="rId723"/>
    <hyperlink xmlns:r="http://schemas.openxmlformats.org/officeDocument/2006/relationships" ref="F734" r:id="rId724"/>
    <hyperlink xmlns:r="http://schemas.openxmlformats.org/officeDocument/2006/relationships" ref="F735" r:id="rId725"/>
    <hyperlink xmlns:r="http://schemas.openxmlformats.org/officeDocument/2006/relationships" ref="F736" r:id="rId726"/>
    <hyperlink xmlns:r="http://schemas.openxmlformats.org/officeDocument/2006/relationships" ref="F737" r:id="rId727"/>
    <hyperlink xmlns:r="http://schemas.openxmlformats.org/officeDocument/2006/relationships" ref="F738" r:id="rId728"/>
    <hyperlink xmlns:r="http://schemas.openxmlformats.org/officeDocument/2006/relationships" ref="F739" r:id="rId729"/>
    <hyperlink xmlns:r="http://schemas.openxmlformats.org/officeDocument/2006/relationships" ref="F740" r:id="rId730"/>
    <hyperlink xmlns:r="http://schemas.openxmlformats.org/officeDocument/2006/relationships" ref="F741" r:id="rId731"/>
    <hyperlink xmlns:r="http://schemas.openxmlformats.org/officeDocument/2006/relationships" ref="F742" r:id="rId732"/>
    <hyperlink xmlns:r="http://schemas.openxmlformats.org/officeDocument/2006/relationships" ref="F743" r:id="rId733"/>
    <hyperlink xmlns:r="http://schemas.openxmlformats.org/officeDocument/2006/relationships" ref="F744" r:id="rId734"/>
    <hyperlink xmlns:r="http://schemas.openxmlformats.org/officeDocument/2006/relationships" ref="F745" r:id="rId735"/>
    <hyperlink xmlns:r="http://schemas.openxmlformats.org/officeDocument/2006/relationships" ref="F746" r:id="rId736"/>
    <hyperlink xmlns:r="http://schemas.openxmlformats.org/officeDocument/2006/relationships" ref="F747" r:id="rId737"/>
    <hyperlink xmlns:r="http://schemas.openxmlformats.org/officeDocument/2006/relationships" ref="F748" r:id="rId738"/>
    <hyperlink xmlns:r="http://schemas.openxmlformats.org/officeDocument/2006/relationships" ref="F749" r:id="rId739"/>
    <hyperlink xmlns:r="http://schemas.openxmlformats.org/officeDocument/2006/relationships" ref="F750" r:id="rId740"/>
    <hyperlink xmlns:r="http://schemas.openxmlformats.org/officeDocument/2006/relationships" ref="F751" r:id="rId741"/>
    <hyperlink xmlns:r="http://schemas.openxmlformats.org/officeDocument/2006/relationships" ref="F752" r:id="rId742"/>
    <hyperlink xmlns:r="http://schemas.openxmlformats.org/officeDocument/2006/relationships" ref="F753" r:id="rId743"/>
    <hyperlink xmlns:r="http://schemas.openxmlformats.org/officeDocument/2006/relationships" ref="F754" r:id="rId744"/>
    <hyperlink xmlns:r="http://schemas.openxmlformats.org/officeDocument/2006/relationships" ref="F755" r:id="rId745"/>
    <hyperlink xmlns:r="http://schemas.openxmlformats.org/officeDocument/2006/relationships" ref="F756" r:id="rId746"/>
    <hyperlink xmlns:r="http://schemas.openxmlformats.org/officeDocument/2006/relationships" ref="F757" r:id="rId747"/>
    <hyperlink xmlns:r="http://schemas.openxmlformats.org/officeDocument/2006/relationships" ref="F758" r:id="rId748"/>
    <hyperlink xmlns:r="http://schemas.openxmlformats.org/officeDocument/2006/relationships" ref="F759" r:id="rId749"/>
    <hyperlink xmlns:r="http://schemas.openxmlformats.org/officeDocument/2006/relationships" ref="F760" r:id="rId750"/>
    <hyperlink xmlns:r="http://schemas.openxmlformats.org/officeDocument/2006/relationships" ref="F761" r:id="rId751"/>
    <hyperlink xmlns:r="http://schemas.openxmlformats.org/officeDocument/2006/relationships" ref="F762" r:id="rId752"/>
    <hyperlink xmlns:r="http://schemas.openxmlformats.org/officeDocument/2006/relationships" ref="F763" r:id="rId753"/>
    <hyperlink xmlns:r="http://schemas.openxmlformats.org/officeDocument/2006/relationships" ref="F764" r:id="rId754"/>
    <hyperlink xmlns:r="http://schemas.openxmlformats.org/officeDocument/2006/relationships" ref="F765" r:id="rId755"/>
    <hyperlink xmlns:r="http://schemas.openxmlformats.org/officeDocument/2006/relationships" ref="F766" r:id="rId756"/>
    <hyperlink xmlns:r="http://schemas.openxmlformats.org/officeDocument/2006/relationships" ref="F767" r:id="rId757"/>
    <hyperlink xmlns:r="http://schemas.openxmlformats.org/officeDocument/2006/relationships" ref="F768" r:id="rId758"/>
    <hyperlink xmlns:r="http://schemas.openxmlformats.org/officeDocument/2006/relationships" ref="F769" r:id="rId759"/>
    <hyperlink xmlns:r="http://schemas.openxmlformats.org/officeDocument/2006/relationships" ref="F770" r:id="rId760"/>
    <hyperlink xmlns:r="http://schemas.openxmlformats.org/officeDocument/2006/relationships" ref="F771" r:id="rId761"/>
    <hyperlink xmlns:r="http://schemas.openxmlformats.org/officeDocument/2006/relationships" ref="F772" r:id="rId762"/>
    <hyperlink xmlns:r="http://schemas.openxmlformats.org/officeDocument/2006/relationships" ref="F773" r:id="rId763"/>
    <hyperlink xmlns:r="http://schemas.openxmlformats.org/officeDocument/2006/relationships" ref="F774" r:id="rId764"/>
    <hyperlink xmlns:r="http://schemas.openxmlformats.org/officeDocument/2006/relationships" ref="F775" r:id="rId765"/>
    <hyperlink xmlns:r="http://schemas.openxmlformats.org/officeDocument/2006/relationships" ref="F776" r:id="rId766"/>
    <hyperlink xmlns:r="http://schemas.openxmlformats.org/officeDocument/2006/relationships" ref="F777" r:id="rId767"/>
    <hyperlink xmlns:r="http://schemas.openxmlformats.org/officeDocument/2006/relationships" ref="F778" r:id="rId768"/>
    <hyperlink xmlns:r="http://schemas.openxmlformats.org/officeDocument/2006/relationships" ref="F779" r:id="rId769"/>
    <hyperlink xmlns:r="http://schemas.openxmlformats.org/officeDocument/2006/relationships" ref="F780" r:id="rId770"/>
    <hyperlink xmlns:r="http://schemas.openxmlformats.org/officeDocument/2006/relationships" ref="F781" r:id="rId771"/>
    <hyperlink xmlns:r="http://schemas.openxmlformats.org/officeDocument/2006/relationships" ref="F782" r:id="rId772"/>
    <hyperlink xmlns:r="http://schemas.openxmlformats.org/officeDocument/2006/relationships" ref="F783" r:id="rId773"/>
    <hyperlink xmlns:r="http://schemas.openxmlformats.org/officeDocument/2006/relationships" ref="F784" r:id="rId774"/>
    <hyperlink xmlns:r="http://schemas.openxmlformats.org/officeDocument/2006/relationships" ref="F785" r:id="rId775"/>
    <hyperlink xmlns:r="http://schemas.openxmlformats.org/officeDocument/2006/relationships" ref="F786" r:id="rId776"/>
    <hyperlink xmlns:r="http://schemas.openxmlformats.org/officeDocument/2006/relationships" ref="F787" r:id="rId777"/>
    <hyperlink xmlns:r="http://schemas.openxmlformats.org/officeDocument/2006/relationships" ref="F788" r:id="rId778"/>
    <hyperlink xmlns:r="http://schemas.openxmlformats.org/officeDocument/2006/relationships" ref="F789" r:id="rId779"/>
    <hyperlink xmlns:r="http://schemas.openxmlformats.org/officeDocument/2006/relationships" ref="F790" r:id="rId780"/>
    <hyperlink xmlns:r="http://schemas.openxmlformats.org/officeDocument/2006/relationships" ref="F791" r:id="rId781"/>
    <hyperlink xmlns:r="http://schemas.openxmlformats.org/officeDocument/2006/relationships" ref="F792" r:id="rId782"/>
    <hyperlink xmlns:r="http://schemas.openxmlformats.org/officeDocument/2006/relationships" ref="F793" r:id="rId783"/>
    <hyperlink xmlns:r="http://schemas.openxmlformats.org/officeDocument/2006/relationships" ref="F794" r:id="rId784"/>
    <hyperlink xmlns:r="http://schemas.openxmlformats.org/officeDocument/2006/relationships" ref="F795" r:id="rId785"/>
    <hyperlink xmlns:r="http://schemas.openxmlformats.org/officeDocument/2006/relationships" ref="F796" r:id="rId786"/>
    <hyperlink xmlns:r="http://schemas.openxmlformats.org/officeDocument/2006/relationships" ref="F797" r:id="rId787"/>
    <hyperlink xmlns:r="http://schemas.openxmlformats.org/officeDocument/2006/relationships" ref="F798" r:id="rId788"/>
    <hyperlink xmlns:r="http://schemas.openxmlformats.org/officeDocument/2006/relationships" ref="F799" r:id="rId789"/>
    <hyperlink xmlns:r="http://schemas.openxmlformats.org/officeDocument/2006/relationships" ref="F800" r:id="rId790"/>
    <hyperlink xmlns:r="http://schemas.openxmlformats.org/officeDocument/2006/relationships" ref="F801" r:id="rId791"/>
    <hyperlink xmlns:r="http://schemas.openxmlformats.org/officeDocument/2006/relationships" ref="F802" r:id="rId792"/>
    <hyperlink xmlns:r="http://schemas.openxmlformats.org/officeDocument/2006/relationships" ref="F803" r:id="rId793"/>
    <hyperlink xmlns:r="http://schemas.openxmlformats.org/officeDocument/2006/relationships" ref="F804" r:id="rId794"/>
    <hyperlink xmlns:r="http://schemas.openxmlformats.org/officeDocument/2006/relationships" ref="F805" r:id="rId795"/>
    <hyperlink xmlns:r="http://schemas.openxmlformats.org/officeDocument/2006/relationships" ref="F806" r:id="rId796"/>
    <hyperlink xmlns:r="http://schemas.openxmlformats.org/officeDocument/2006/relationships" ref="F807" r:id="rId797"/>
    <hyperlink xmlns:r="http://schemas.openxmlformats.org/officeDocument/2006/relationships" ref="F808" r:id="rId798"/>
    <hyperlink xmlns:r="http://schemas.openxmlformats.org/officeDocument/2006/relationships" ref="F809" r:id="rId799"/>
    <hyperlink xmlns:r="http://schemas.openxmlformats.org/officeDocument/2006/relationships" ref="F810" r:id="rId800"/>
    <hyperlink xmlns:r="http://schemas.openxmlformats.org/officeDocument/2006/relationships" ref="F811" r:id="rId801"/>
    <hyperlink xmlns:r="http://schemas.openxmlformats.org/officeDocument/2006/relationships" ref="F812" r:id="rId802"/>
    <hyperlink xmlns:r="http://schemas.openxmlformats.org/officeDocument/2006/relationships" ref="F813" r:id="rId803"/>
    <hyperlink xmlns:r="http://schemas.openxmlformats.org/officeDocument/2006/relationships" ref="F814" r:id="rId804"/>
    <hyperlink xmlns:r="http://schemas.openxmlformats.org/officeDocument/2006/relationships" ref="F815" r:id="rId805"/>
    <hyperlink xmlns:r="http://schemas.openxmlformats.org/officeDocument/2006/relationships" ref="F816" r:id="rId806"/>
    <hyperlink xmlns:r="http://schemas.openxmlformats.org/officeDocument/2006/relationships" ref="F817" r:id="rId807"/>
    <hyperlink xmlns:r="http://schemas.openxmlformats.org/officeDocument/2006/relationships" ref="F818" r:id="rId808"/>
    <hyperlink xmlns:r="http://schemas.openxmlformats.org/officeDocument/2006/relationships" ref="F819" r:id="rId809"/>
    <hyperlink xmlns:r="http://schemas.openxmlformats.org/officeDocument/2006/relationships" ref="F820" r:id="rId810"/>
    <hyperlink xmlns:r="http://schemas.openxmlformats.org/officeDocument/2006/relationships" ref="F821" r:id="rId811"/>
    <hyperlink xmlns:r="http://schemas.openxmlformats.org/officeDocument/2006/relationships" ref="F822" r:id="rId812"/>
    <hyperlink xmlns:r="http://schemas.openxmlformats.org/officeDocument/2006/relationships" ref="F823" r:id="rId813"/>
    <hyperlink xmlns:r="http://schemas.openxmlformats.org/officeDocument/2006/relationships" ref="F824" r:id="rId814"/>
    <hyperlink xmlns:r="http://schemas.openxmlformats.org/officeDocument/2006/relationships" ref="F825" r:id="rId815"/>
    <hyperlink xmlns:r="http://schemas.openxmlformats.org/officeDocument/2006/relationships" ref="F826" r:id="rId816"/>
    <hyperlink xmlns:r="http://schemas.openxmlformats.org/officeDocument/2006/relationships" ref="F827" r:id="rId817"/>
    <hyperlink xmlns:r="http://schemas.openxmlformats.org/officeDocument/2006/relationships" ref="F828" r:id="rId818"/>
    <hyperlink xmlns:r="http://schemas.openxmlformats.org/officeDocument/2006/relationships" ref="F829" r:id="rId819"/>
    <hyperlink xmlns:r="http://schemas.openxmlformats.org/officeDocument/2006/relationships" ref="F830" r:id="rId820"/>
    <hyperlink xmlns:r="http://schemas.openxmlformats.org/officeDocument/2006/relationships" ref="F831" r:id="rId821"/>
    <hyperlink xmlns:r="http://schemas.openxmlformats.org/officeDocument/2006/relationships" ref="F832" r:id="rId822"/>
    <hyperlink xmlns:r="http://schemas.openxmlformats.org/officeDocument/2006/relationships" ref="F833" r:id="rId823"/>
    <hyperlink xmlns:r="http://schemas.openxmlformats.org/officeDocument/2006/relationships" ref="F834" r:id="rId824"/>
    <hyperlink xmlns:r="http://schemas.openxmlformats.org/officeDocument/2006/relationships" ref="F835" r:id="rId825"/>
    <hyperlink xmlns:r="http://schemas.openxmlformats.org/officeDocument/2006/relationships" ref="F836" r:id="rId826"/>
    <hyperlink xmlns:r="http://schemas.openxmlformats.org/officeDocument/2006/relationships" ref="F837" r:id="rId827"/>
    <hyperlink xmlns:r="http://schemas.openxmlformats.org/officeDocument/2006/relationships" ref="F838" r:id="rId828"/>
    <hyperlink xmlns:r="http://schemas.openxmlformats.org/officeDocument/2006/relationships" ref="F839" r:id="rId829"/>
    <hyperlink xmlns:r="http://schemas.openxmlformats.org/officeDocument/2006/relationships" ref="F840" r:id="rId830"/>
    <hyperlink xmlns:r="http://schemas.openxmlformats.org/officeDocument/2006/relationships" ref="F841" r:id="rId831"/>
    <hyperlink xmlns:r="http://schemas.openxmlformats.org/officeDocument/2006/relationships" ref="F842" r:id="rId832"/>
    <hyperlink xmlns:r="http://schemas.openxmlformats.org/officeDocument/2006/relationships" ref="F843" r:id="rId833"/>
    <hyperlink xmlns:r="http://schemas.openxmlformats.org/officeDocument/2006/relationships" ref="F844" r:id="rId834"/>
    <hyperlink xmlns:r="http://schemas.openxmlformats.org/officeDocument/2006/relationships" ref="F845" r:id="rId835"/>
    <hyperlink xmlns:r="http://schemas.openxmlformats.org/officeDocument/2006/relationships" ref="F846" r:id="rId836"/>
    <hyperlink xmlns:r="http://schemas.openxmlformats.org/officeDocument/2006/relationships" ref="F847" r:id="rId837"/>
    <hyperlink xmlns:r="http://schemas.openxmlformats.org/officeDocument/2006/relationships" ref="F848" r:id="rId838"/>
    <hyperlink xmlns:r="http://schemas.openxmlformats.org/officeDocument/2006/relationships" ref="F849" r:id="rId839"/>
    <hyperlink xmlns:r="http://schemas.openxmlformats.org/officeDocument/2006/relationships" ref="F850" r:id="rId840"/>
    <hyperlink xmlns:r="http://schemas.openxmlformats.org/officeDocument/2006/relationships" ref="F851" r:id="rId841"/>
    <hyperlink xmlns:r="http://schemas.openxmlformats.org/officeDocument/2006/relationships" ref="F852" r:id="rId842"/>
    <hyperlink xmlns:r="http://schemas.openxmlformats.org/officeDocument/2006/relationships" ref="F853" r:id="rId843"/>
    <hyperlink xmlns:r="http://schemas.openxmlformats.org/officeDocument/2006/relationships" ref="F854" r:id="rId844"/>
    <hyperlink xmlns:r="http://schemas.openxmlformats.org/officeDocument/2006/relationships" ref="F855" r:id="rId845"/>
    <hyperlink xmlns:r="http://schemas.openxmlformats.org/officeDocument/2006/relationships" ref="F856" r:id="rId846"/>
    <hyperlink xmlns:r="http://schemas.openxmlformats.org/officeDocument/2006/relationships" ref="F858" r:id="rId847"/>
    <hyperlink xmlns:r="http://schemas.openxmlformats.org/officeDocument/2006/relationships" ref="F859" r:id="rId848"/>
    <hyperlink xmlns:r="http://schemas.openxmlformats.org/officeDocument/2006/relationships" ref="F860" r:id="rId849"/>
    <hyperlink xmlns:r="http://schemas.openxmlformats.org/officeDocument/2006/relationships" ref="F861" r:id="rId850"/>
    <hyperlink xmlns:r="http://schemas.openxmlformats.org/officeDocument/2006/relationships" ref="F863" r:id="rId851"/>
    <hyperlink xmlns:r="http://schemas.openxmlformats.org/officeDocument/2006/relationships" ref="F864" r:id="rId852"/>
    <hyperlink xmlns:r="http://schemas.openxmlformats.org/officeDocument/2006/relationships" ref="F865" r:id="rId853"/>
    <hyperlink xmlns:r="http://schemas.openxmlformats.org/officeDocument/2006/relationships" ref="F866" r:id="rId854"/>
    <hyperlink xmlns:r="http://schemas.openxmlformats.org/officeDocument/2006/relationships" ref="F867" r:id="rId855"/>
    <hyperlink xmlns:r="http://schemas.openxmlformats.org/officeDocument/2006/relationships" ref="F868" r:id="rId856"/>
    <hyperlink xmlns:r="http://schemas.openxmlformats.org/officeDocument/2006/relationships" ref="F869" r:id="rId857"/>
    <hyperlink xmlns:r="http://schemas.openxmlformats.org/officeDocument/2006/relationships" ref="F870" r:id="rId858"/>
    <hyperlink xmlns:r="http://schemas.openxmlformats.org/officeDocument/2006/relationships" ref="F871" r:id="rId859"/>
    <hyperlink xmlns:r="http://schemas.openxmlformats.org/officeDocument/2006/relationships" ref="F872" r:id="rId860"/>
    <hyperlink xmlns:r="http://schemas.openxmlformats.org/officeDocument/2006/relationships" ref="F873" r:id="rId861"/>
    <hyperlink xmlns:r="http://schemas.openxmlformats.org/officeDocument/2006/relationships" ref="F874" r:id="rId862"/>
    <hyperlink xmlns:r="http://schemas.openxmlformats.org/officeDocument/2006/relationships" ref="F875" r:id="rId863"/>
    <hyperlink xmlns:r="http://schemas.openxmlformats.org/officeDocument/2006/relationships" ref="F876" r:id="rId864"/>
    <hyperlink xmlns:r="http://schemas.openxmlformats.org/officeDocument/2006/relationships" ref="F877" r:id="rId865"/>
    <hyperlink xmlns:r="http://schemas.openxmlformats.org/officeDocument/2006/relationships" ref="F878" r:id="rId866"/>
    <hyperlink xmlns:r="http://schemas.openxmlformats.org/officeDocument/2006/relationships" ref="F879" r:id="rId867"/>
    <hyperlink xmlns:r="http://schemas.openxmlformats.org/officeDocument/2006/relationships" ref="F880" r:id="rId868"/>
    <hyperlink xmlns:r="http://schemas.openxmlformats.org/officeDocument/2006/relationships" ref="F881" r:id="rId869"/>
    <hyperlink xmlns:r="http://schemas.openxmlformats.org/officeDocument/2006/relationships" ref="F882" r:id="rId870"/>
    <hyperlink xmlns:r="http://schemas.openxmlformats.org/officeDocument/2006/relationships" ref="F883" r:id="rId871"/>
    <hyperlink xmlns:r="http://schemas.openxmlformats.org/officeDocument/2006/relationships" ref="F884" r:id="rId872"/>
    <hyperlink xmlns:r="http://schemas.openxmlformats.org/officeDocument/2006/relationships" ref="F885" r:id="rId873"/>
    <hyperlink xmlns:r="http://schemas.openxmlformats.org/officeDocument/2006/relationships" ref="F886" r:id="rId874"/>
    <hyperlink xmlns:r="http://schemas.openxmlformats.org/officeDocument/2006/relationships" ref="F887" r:id="rId875"/>
    <hyperlink xmlns:r="http://schemas.openxmlformats.org/officeDocument/2006/relationships" ref="F888" r:id="rId876"/>
    <hyperlink xmlns:r="http://schemas.openxmlformats.org/officeDocument/2006/relationships" ref="F889" r:id="rId877"/>
    <hyperlink xmlns:r="http://schemas.openxmlformats.org/officeDocument/2006/relationships" ref="F890" r:id="rId878"/>
    <hyperlink xmlns:r="http://schemas.openxmlformats.org/officeDocument/2006/relationships" ref="F891" r:id="rId879"/>
    <hyperlink xmlns:r="http://schemas.openxmlformats.org/officeDocument/2006/relationships" ref="F892" r:id="rId880"/>
    <hyperlink xmlns:r="http://schemas.openxmlformats.org/officeDocument/2006/relationships" ref="F893" r:id="rId881"/>
    <hyperlink xmlns:r="http://schemas.openxmlformats.org/officeDocument/2006/relationships" ref="F894" r:id="rId882"/>
    <hyperlink xmlns:r="http://schemas.openxmlformats.org/officeDocument/2006/relationships" ref="F895" r:id="rId883"/>
    <hyperlink xmlns:r="http://schemas.openxmlformats.org/officeDocument/2006/relationships" ref="F896" r:id="rId884"/>
    <hyperlink xmlns:r="http://schemas.openxmlformats.org/officeDocument/2006/relationships" ref="F897" r:id="rId885"/>
    <hyperlink xmlns:r="http://schemas.openxmlformats.org/officeDocument/2006/relationships" ref="F898" r:id="rId886"/>
    <hyperlink xmlns:r="http://schemas.openxmlformats.org/officeDocument/2006/relationships" ref="F899" r:id="rId887"/>
    <hyperlink xmlns:r="http://schemas.openxmlformats.org/officeDocument/2006/relationships" ref="F900" r:id="rId888"/>
    <hyperlink xmlns:r="http://schemas.openxmlformats.org/officeDocument/2006/relationships" ref="F901" r:id="rId889"/>
    <hyperlink xmlns:r="http://schemas.openxmlformats.org/officeDocument/2006/relationships" ref="F902" r:id="rId890"/>
    <hyperlink xmlns:r="http://schemas.openxmlformats.org/officeDocument/2006/relationships" ref="F903" r:id="rId891"/>
    <hyperlink xmlns:r="http://schemas.openxmlformats.org/officeDocument/2006/relationships" ref="F904" r:id="rId892"/>
    <hyperlink xmlns:r="http://schemas.openxmlformats.org/officeDocument/2006/relationships" ref="F905" r:id="rId893"/>
    <hyperlink xmlns:r="http://schemas.openxmlformats.org/officeDocument/2006/relationships" ref="F906" r:id="rId894"/>
    <hyperlink xmlns:r="http://schemas.openxmlformats.org/officeDocument/2006/relationships" ref="F907" r:id="rId895"/>
    <hyperlink xmlns:r="http://schemas.openxmlformats.org/officeDocument/2006/relationships" ref="F908" r:id="rId896"/>
    <hyperlink xmlns:r="http://schemas.openxmlformats.org/officeDocument/2006/relationships" ref="F909" r:id="rId897"/>
    <hyperlink xmlns:r="http://schemas.openxmlformats.org/officeDocument/2006/relationships" ref="F910" r:id="rId898"/>
    <hyperlink xmlns:r="http://schemas.openxmlformats.org/officeDocument/2006/relationships" ref="F911" r:id="rId899"/>
    <hyperlink xmlns:r="http://schemas.openxmlformats.org/officeDocument/2006/relationships" ref="F912" r:id="rId900"/>
    <hyperlink xmlns:r="http://schemas.openxmlformats.org/officeDocument/2006/relationships" ref="F913" r:id="rId901"/>
    <hyperlink xmlns:r="http://schemas.openxmlformats.org/officeDocument/2006/relationships" ref="F914" r:id="rId902"/>
    <hyperlink xmlns:r="http://schemas.openxmlformats.org/officeDocument/2006/relationships" ref="F915" r:id="rId903"/>
    <hyperlink xmlns:r="http://schemas.openxmlformats.org/officeDocument/2006/relationships" ref="F916" r:id="rId904"/>
    <hyperlink xmlns:r="http://schemas.openxmlformats.org/officeDocument/2006/relationships" ref="F917" r:id="rId905"/>
    <hyperlink xmlns:r="http://schemas.openxmlformats.org/officeDocument/2006/relationships" ref="F918" r:id="rId906"/>
    <hyperlink xmlns:r="http://schemas.openxmlformats.org/officeDocument/2006/relationships" ref="F919" r:id="rId907"/>
    <hyperlink xmlns:r="http://schemas.openxmlformats.org/officeDocument/2006/relationships" ref="F920" r:id="rId908"/>
    <hyperlink xmlns:r="http://schemas.openxmlformats.org/officeDocument/2006/relationships" ref="F921" r:id="rId909"/>
    <hyperlink xmlns:r="http://schemas.openxmlformats.org/officeDocument/2006/relationships" ref="F922" r:id="rId910"/>
    <hyperlink xmlns:r="http://schemas.openxmlformats.org/officeDocument/2006/relationships" ref="F923" r:id="rId911"/>
    <hyperlink xmlns:r="http://schemas.openxmlformats.org/officeDocument/2006/relationships" ref="F924" r:id="rId912"/>
    <hyperlink xmlns:r="http://schemas.openxmlformats.org/officeDocument/2006/relationships" ref="F925" r:id="rId913"/>
    <hyperlink xmlns:r="http://schemas.openxmlformats.org/officeDocument/2006/relationships" ref="F926" r:id="rId914"/>
    <hyperlink xmlns:r="http://schemas.openxmlformats.org/officeDocument/2006/relationships" ref="F927" r:id="rId915"/>
    <hyperlink xmlns:r="http://schemas.openxmlformats.org/officeDocument/2006/relationships" ref="F928" r:id="rId916"/>
    <hyperlink xmlns:r="http://schemas.openxmlformats.org/officeDocument/2006/relationships" ref="F929" r:id="rId917"/>
    <hyperlink xmlns:r="http://schemas.openxmlformats.org/officeDocument/2006/relationships" ref="F930" r:id="rId918"/>
    <hyperlink xmlns:r="http://schemas.openxmlformats.org/officeDocument/2006/relationships" ref="F931" r:id="rId919"/>
    <hyperlink xmlns:r="http://schemas.openxmlformats.org/officeDocument/2006/relationships" ref="F932" r:id="rId920"/>
    <hyperlink xmlns:r="http://schemas.openxmlformats.org/officeDocument/2006/relationships" ref="F933" r:id="rId921"/>
    <hyperlink xmlns:r="http://schemas.openxmlformats.org/officeDocument/2006/relationships" ref="F934" r:id="rId922"/>
    <hyperlink xmlns:r="http://schemas.openxmlformats.org/officeDocument/2006/relationships" ref="F935" r:id="rId923"/>
    <hyperlink xmlns:r="http://schemas.openxmlformats.org/officeDocument/2006/relationships" ref="F936" r:id="rId924"/>
    <hyperlink xmlns:r="http://schemas.openxmlformats.org/officeDocument/2006/relationships" ref="F937" r:id="rId925"/>
    <hyperlink xmlns:r="http://schemas.openxmlformats.org/officeDocument/2006/relationships" ref="F938" r:id="rId926"/>
    <hyperlink xmlns:r="http://schemas.openxmlformats.org/officeDocument/2006/relationships" ref="F939" r:id="rId927"/>
    <hyperlink xmlns:r="http://schemas.openxmlformats.org/officeDocument/2006/relationships" ref="F940" r:id="rId928"/>
    <hyperlink xmlns:r="http://schemas.openxmlformats.org/officeDocument/2006/relationships" ref="F941" r:id="rId929"/>
    <hyperlink xmlns:r="http://schemas.openxmlformats.org/officeDocument/2006/relationships" ref="F942" r:id="rId930"/>
    <hyperlink xmlns:r="http://schemas.openxmlformats.org/officeDocument/2006/relationships" ref="F943" r:id="rId931"/>
    <hyperlink xmlns:r="http://schemas.openxmlformats.org/officeDocument/2006/relationships" ref="F944" r:id="rId932"/>
    <hyperlink xmlns:r="http://schemas.openxmlformats.org/officeDocument/2006/relationships" ref="F945" r:id="rId933"/>
    <hyperlink xmlns:r="http://schemas.openxmlformats.org/officeDocument/2006/relationships" ref="F946" r:id="rId934"/>
    <hyperlink xmlns:r="http://schemas.openxmlformats.org/officeDocument/2006/relationships" ref="F947" r:id="rId935"/>
    <hyperlink xmlns:r="http://schemas.openxmlformats.org/officeDocument/2006/relationships" ref="F948" r:id="rId936"/>
    <hyperlink xmlns:r="http://schemas.openxmlformats.org/officeDocument/2006/relationships" ref="F949" r:id="rId937"/>
    <hyperlink xmlns:r="http://schemas.openxmlformats.org/officeDocument/2006/relationships" ref="F950" r:id="rId938"/>
    <hyperlink xmlns:r="http://schemas.openxmlformats.org/officeDocument/2006/relationships" ref="F951" r:id="rId939"/>
    <hyperlink xmlns:r="http://schemas.openxmlformats.org/officeDocument/2006/relationships" ref="F952" r:id="rId940"/>
    <hyperlink xmlns:r="http://schemas.openxmlformats.org/officeDocument/2006/relationships" ref="F953" r:id="rId941"/>
    <hyperlink xmlns:r="http://schemas.openxmlformats.org/officeDocument/2006/relationships" ref="F954" r:id="rId942"/>
    <hyperlink xmlns:r="http://schemas.openxmlformats.org/officeDocument/2006/relationships" ref="F955" r:id="rId943"/>
    <hyperlink xmlns:r="http://schemas.openxmlformats.org/officeDocument/2006/relationships" ref="F956" r:id="rId944"/>
    <hyperlink xmlns:r="http://schemas.openxmlformats.org/officeDocument/2006/relationships" ref="F957" r:id="rId945"/>
    <hyperlink xmlns:r="http://schemas.openxmlformats.org/officeDocument/2006/relationships" ref="F958" r:id="rId946"/>
    <hyperlink xmlns:r="http://schemas.openxmlformats.org/officeDocument/2006/relationships" ref="F959" r:id="rId947"/>
    <hyperlink xmlns:r="http://schemas.openxmlformats.org/officeDocument/2006/relationships" ref="F960" r:id="rId948"/>
    <hyperlink xmlns:r="http://schemas.openxmlformats.org/officeDocument/2006/relationships" ref="F961" r:id="rId949"/>
    <hyperlink xmlns:r="http://schemas.openxmlformats.org/officeDocument/2006/relationships" ref="F962" r:id="rId950"/>
    <hyperlink xmlns:r="http://schemas.openxmlformats.org/officeDocument/2006/relationships" ref="F963" r:id="rId951"/>
    <hyperlink xmlns:r="http://schemas.openxmlformats.org/officeDocument/2006/relationships" ref="F964" r:id="rId952"/>
    <hyperlink xmlns:r="http://schemas.openxmlformats.org/officeDocument/2006/relationships" ref="F965" r:id="rId953"/>
    <hyperlink xmlns:r="http://schemas.openxmlformats.org/officeDocument/2006/relationships" ref="F966" r:id="rId954"/>
    <hyperlink xmlns:r="http://schemas.openxmlformats.org/officeDocument/2006/relationships" ref="F967" r:id="rId955"/>
    <hyperlink xmlns:r="http://schemas.openxmlformats.org/officeDocument/2006/relationships" ref="F968" r:id="rId956"/>
    <hyperlink xmlns:r="http://schemas.openxmlformats.org/officeDocument/2006/relationships" ref="F969" r:id="rId957"/>
    <hyperlink xmlns:r="http://schemas.openxmlformats.org/officeDocument/2006/relationships" ref="F970" r:id="rId958"/>
    <hyperlink xmlns:r="http://schemas.openxmlformats.org/officeDocument/2006/relationships" ref="F971" r:id="rId959"/>
    <hyperlink xmlns:r="http://schemas.openxmlformats.org/officeDocument/2006/relationships" ref="F972" r:id="rId960"/>
    <hyperlink xmlns:r="http://schemas.openxmlformats.org/officeDocument/2006/relationships" ref="F973" r:id="rId961"/>
    <hyperlink xmlns:r="http://schemas.openxmlformats.org/officeDocument/2006/relationships" ref="F974" r:id="rId962"/>
    <hyperlink xmlns:r="http://schemas.openxmlformats.org/officeDocument/2006/relationships" ref="F975" r:id="rId963"/>
    <hyperlink xmlns:r="http://schemas.openxmlformats.org/officeDocument/2006/relationships" ref="F976" r:id="rId964"/>
    <hyperlink xmlns:r="http://schemas.openxmlformats.org/officeDocument/2006/relationships" ref="F977" r:id="rId965"/>
    <hyperlink xmlns:r="http://schemas.openxmlformats.org/officeDocument/2006/relationships" ref="F978" r:id="rId966"/>
    <hyperlink xmlns:r="http://schemas.openxmlformats.org/officeDocument/2006/relationships" ref="F979" r:id="rId967"/>
    <hyperlink xmlns:r="http://schemas.openxmlformats.org/officeDocument/2006/relationships" ref="F980" r:id="rId968"/>
    <hyperlink xmlns:r="http://schemas.openxmlformats.org/officeDocument/2006/relationships" ref="F981" r:id="rId969"/>
    <hyperlink xmlns:r="http://schemas.openxmlformats.org/officeDocument/2006/relationships" ref="F982" r:id="rId970"/>
    <hyperlink xmlns:r="http://schemas.openxmlformats.org/officeDocument/2006/relationships" ref="F983" r:id="rId971"/>
    <hyperlink xmlns:r="http://schemas.openxmlformats.org/officeDocument/2006/relationships" ref="F984" r:id="rId972"/>
    <hyperlink xmlns:r="http://schemas.openxmlformats.org/officeDocument/2006/relationships" ref="F985" r:id="rId973"/>
    <hyperlink xmlns:r="http://schemas.openxmlformats.org/officeDocument/2006/relationships" ref="F986" r:id="rId974"/>
    <hyperlink xmlns:r="http://schemas.openxmlformats.org/officeDocument/2006/relationships" ref="F987" r:id="rId975"/>
    <hyperlink xmlns:r="http://schemas.openxmlformats.org/officeDocument/2006/relationships" ref="F988" r:id="rId976"/>
    <hyperlink xmlns:r="http://schemas.openxmlformats.org/officeDocument/2006/relationships" ref="F989" r:id="rId977"/>
    <hyperlink xmlns:r="http://schemas.openxmlformats.org/officeDocument/2006/relationships" ref="F990" r:id="rId978"/>
    <hyperlink xmlns:r="http://schemas.openxmlformats.org/officeDocument/2006/relationships" ref="F991" r:id="rId979"/>
    <hyperlink xmlns:r="http://schemas.openxmlformats.org/officeDocument/2006/relationships" ref="F992" r:id="rId980"/>
    <hyperlink xmlns:r="http://schemas.openxmlformats.org/officeDocument/2006/relationships" ref="F993" r:id="rId981"/>
    <hyperlink xmlns:r="http://schemas.openxmlformats.org/officeDocument/2006/relationships" ref="F994" r:id="rId982"/>
    <hyperlink xmlns:r="http://schemas.openxmlformats.org/officeDocument/2006/relationships" ref="F995" r:id="rId983"/>
    <hyperlink xmlns:r="http://schemas.openxmlformats.org/officeDocument/2006/relationships" ref="F996" r:id="rId984"/>
    <hyperlink xmlns:r="http://schemas.openxmlformats.org/officeDocument/2006/relationships" ref="F997" r:id="rId985"/>
    <hyperlink xmlns:r="http://schemas.openxmlformats.org/officeDocument/2006/relationships" ref="F998" r:id="rId986"/>
    <hyperlink xmlns:r="http://schemas.openxmlformats.org/officeDocument/2006/relationships" ref="F999" r:id="rId987"/>
    <hyperlink xmlns:r="http://schemas.openxmlformats.org/officeDocument/2006/relationships" ref="F1000" r:id="rId988"/>
    <hyperlink xmlns:r="http://schemas.openxmlformats.org/officeDocument/2006/relationships" ref="F1001" r:id="rId989"/>
    <hyperlink xmlns:r="http://schemas.openxmlformats.org/officeDocument/2006/relationships" ref="F1002" r:id="rId990"/>
    <hyperlink xmlns:r="http://schemas.openxmlformats.org/officeDocument/2006/relationships" ref="F1003" r:id="rId991"/>
    <hyperlink xmlns:r="http://schemas.openxmlformats.org/officeDocument/2006/relationships" ref="F1004" r:id="rId992"/>
    <hyperlink xmlns:r="http://schemas.openxmlformats.org/officeDocument/2006/relationships" ref="F1005" r:id="rId993"/>
    <hyperlink xmlns:r="http://schemas.openxmlformats.org/officeDocument/2006/relationships" ref="F1006" r:id="rId994"/>
    <hyperlink xmlns:r="http://schemas.openxmlformats.org/officeDocument/2006/relationships" ref="F1007" r:id="rId995"/>
    <hyperlink xmlns:r="http://schemas.openxmlformats.org/officeDocument/2006/relationships" ref="F1008" r:id="rId996"/>
    <hyperlink xmlns:r="http://schemas.openxmlformats.org/officeDocument/2006/relationships" ref="F1009" r:id="rId997"/>
    <hyperlink xmlns:r="http://schemas.openxmlformats.org/officeDocument/2006/relationships" ref="F1010" r:id="rId998"/>
    <hyperlink xmlns:r="http://schemas.openxmlformats.org/officeDocument/2006/relationships" ref="F1011" r:id="rId999"/>
    <hyperlink xmlns:r="http://schemas.openxmlformats.org/officeDocument/2006/relationships" ref="F1012" r:id="rId1000"/>
    <hyperlink xmlns:r="http://schemas.openxmlformats.org/officeDocument/2006/relationships" ref="F1013" r:id="rId1001"/>
    <hyperlink xmlns:r="http://schemas.openxmlformats.org/officeDocument/2006/relationships" ref="F1014" r:id="rId1002"/>
    <hyperlink xmlns:r="http://schemas.openxmlformats.org/officeDocument/2006/relationships" ref="F1015" r:id="rId1003"/>
    <hyperlink xmlns:r="http://schemas.openxmlformats.org/officeDocument/2006/relationships" ref="F1016" r:id="rId1004"/>
    <hyperlink xmlns:r="http://schemas.openxmlformats.org/officeDocument/2006/relationships" ref="F1017" r:id="rId1005"/>
    <hyperlink xmlns:r="http://schemas.openxmlformats.org/officeDocument/2006/relationships" ref="F1018" r:id="rId1006"/>
    <hyperlink xmlns:r="http://schemas.openxmlformats.org/officeDocument/2006/relationships" ref="F1019" r:id="rId1007"/>
    <hyperlink xmlns:r="http://schemas.openxmlformats.org/officeDocument/2006/relationships" ref="F1020" r:id="rId1008"/>
    <hyperlink xmlns:r="http://schemas.openxmlformats.org/officeDocument/2006/relationships" ref="F1021" r:id="rId1009"/>
    <hyperlink xmlns:r="http://schemas.openxmlformats.org/officeDocument/2006/relationships" ref="F1022" r:id="rId1010"/>
    <hyperlink xmlns:r="http://schemas.openxmlformats.org/officeDocument/2006/relationships" ref="F1023" r:id="rId1011"/>
    <hyperlink xmlns:r="http://schemas.openxmlformats.org/officeDocument/2006/relationships" ref="F1024" r:id="rId1012"/>
    <hyperlink xmlns:r="http://schemas.openxmlformats.org/officeDocument/2006/relationships" ref="F1025" r:id="rId1013"/>
    <hyperlink xmlns:r="http://schemas.openxmlformats.org/officeDocument/2006/relationships" ref="F1026" r:id="rId1014"/>
    <hyperlink xmlns:r="http://schemas.openxmlformats.org/officeDocument/2006/relationships" ref="F1027" r:id="rId1015"/>
    <hyperlink xmlns:r="http://schemas.openxmlformats.org/officeDocument/2006/relationships" ref="F1028" r:id="rId1016"/>
    <hyperlink xmlns:r="http://schemas.openxmlformats.org/officeDocument/2006/relationships" ref="F1029" r:id="rId1017"/>
    <hyperlink xmlns:r="http://schemas.openxmlformats.org/officeDocument/2006/relationships" ref="F1030" r:id="rId1018"/>
    <hyperlink xmlns:r="http://schemas.openxmlformats.org/officeDocument/2006/relationships" ref="F1031" r:id="rId1019"/>
    <hyperlink xmlns:r="http://schemas.openxmlformats.org/officeDocument/2006/relationships" ref="F1032" r:id="rId1020"/>
    <hyperlink xmlns:r="http://schemas.openxmlformats.org/officeDocument/2006/relationships" ref="F1033" r:id="rId1021"/>
    <hyperlink xmlns:r="http://schemas.openxmlformats.org/officeDocument/2006/relationships" ref="F1034" r:id="rId1022"/>
    <hyperlink xmlns:r="http://schemas.openxmlformats.org/officeDocument/2006/relationships" ref="F1035" r:id="rId1023"/>
    <hyperlink xmlns:r="http://schemas.openxmlformats.org/officeDocument/2006/relationships" ref="F1036" r:id="rId1024"/>
    <hyperlink xmlns:r="http://schemas.openxmlformats.org/officeDocument/2006/relationships" ref="F1037" r:id="rId1025"/>
    <hyperlink xmlns:r="http://schemas.openxmlformats.org/officeDocument/2006/relationships" ref="F1038" r:id="rId1026"/>
    <hyperlink xmlns:r="http://schemas.openxmlformats.org/officeDocument/2006/relationships" ref="F1039" r:id="rId1027"/>
    <hyperlink xmlns:r="http://schemas.openxmlformats.org/officeDocument/2006/relationships" ref="F1040" r:id="rId1028"/>
    <hyperlink xmlns:r="http://schemas.openxmlformats.org/officeDocument/2006/relationships" ref="F1041" r:id="rId1029"/>
    <hyperlink xmlns:r="http://schemas.openxmlformats.org/officeDocument/2006/relationships" ref="F1042" r:id="rId1030"/>
    <hyperlink xmlns:r="http://schemas.openxmlformats.org/officeDocument/2006/relationships" ref="F1043" r:id="rId1031"/>
    <hyperlink xmlns:r="http://schemas.openxmlformats.org/officeDocument/2006/relationships" ref="F1044" r:id="rId1032"/>
    <hyperlink xmlns:r="http://schemas.openxmlformats.org/officeDocument/2006/relationships" ref="F1045" r:id="rId1033"/>
    <hyperlink xmlns:r="http://schemas.openxmlformats.org/officeDocument/2006/relationships" ref="F1046" r:id="rId1034"/>
    <hyperlink xmlns:r="http://schemas.openxmlformats.org/officeDocument/2006/relationships" ref="F1047" r:id="rId1035"/>
    <hyperlink xmlns:r="http://schemas.openxmlformats.org/officeDocument/2006/relationships" ref="F1048" r:id="rId1036"/>
    <hyperlink xmlns:r="http://schemas.openxmlformats.org/officeDocument/2006/relationships" ref="F1049" r:id="rId1037"/>
    <hyperlink xmlns:r="http://schemas.openxmlformats.org/officeDocument/2006/relationships" ref="F1050" r:id="rId1038"/>
    <hyperlink xmlns:r="http://schemas.openxmlformats.org/officeDocument/2006/relationships" ref="F1051" r:id="rId1039"/>
    <hyperlink xmlns:r="http://schemas.openxmlformats.org/officeDocument/2006/relationships" ref="F1052" r:id="rId1040"/>
    <hyperlink xmlns:r="http://schemas.openxmlformats.org/officeDocument/2006/relationships" ref="F1053" r:id="rId1041"/>
    <hyperlink xmlns:r="http://schemas.openxmlformats.org/officeDocument/2006/relationships" ref="F1054" r:id="rId1042"/>
    <hyperlink xmlns:r="http://schemas.openxmlformats.org/officeDocument/2006/relationships" ref="F1055" r:id="rId1043"/>
    <hyperlink xmlns:r="http://schemas.openxmlformats.org/officeDocument/2006/relationships" ref="F1056" r:id="rId1044"/>
    <hyperlink xmlns:r="http://schemas.openxmlformats.org/officeDocument/2006/relationships" ref="F1057" r:id="rId1045"/>
    <hyperlink xmlns:r="http://schemas.openxmlformats.org/officeDocument/2006/relationships" ref="F1058" r:id="rId1046"/>
    <hyperlink xmlns:r="http://schemas.openxmlformats.org/officeDocument/2006/relationships" ref="F1059" r:id="rId1047"/>
    <hyperlink xmlns:r="http://schemas.openxmlformats.org/officeDocument/2006/relationships" ref="F1060" r:id="rId1048"/>
    <hyperlink xmlns:r="http://schemas.openxmlformats.org/officeDocument/2006/relationships" ref="F1061" r:id="rId1049"/>
    <hyperlink xmlns:r="http://schemas.openxmlformats.org/officeDocument/2006/relationships" ref="F1062" r:id="rId1050"/>
    <hyperlink xmlns:r="http://schemas.openxmlformats.org/officeDocument/2006/relationships" ref="F1063" r:id="rId1051"/>
    <hyperlink xmlns:r="http://schemas.openxmlformats.org/officeDocument/2006/relationships" ref="F1064" r:id="rId1052"/>
    <hyperlink xmlns:r="http://schemas.openxmlformats.org/officeDocument/2006/relationships" ref="F1065" r:id="rId1053"/>
    <hyperlink xmlns:r="http://schemas.openxmlformats.org/officeDocument/2006/relationships" ref="F1066" r:id="rId1054"/>
    <hyperlink xmlns:r="http://schemas.openxmlformats.org/officeDocument/2006/relationships" ref="F1067" r:id="rId1055"/>
    <hyperlink xmlns:r="http://schemas.openxmlformats.org/officeDocument/2006/relationships" ref="F1068" r:id="rId1056"/>
    <hyperlink xmlns:r="http://schemas.openxmlformats.org/officeDocument/2006/relationships" ref="F1069" r:id="rId1057"/>
    <hyperlink xmlns:r="http://schemas.openxmlformats.org/officeDocument/2006/relationships" ref="F1070" r:id="rId1058"/>
    <hyperlink xmlns:r="http://schemas.openxmlformats.org/officeDocument/2006/relationships" ref="F1071" r:id="rId1059"/>
    <hyperlink xmlns:r="http://schemas.openxmlformats.org/officeDocument/2006/relationships" ref="F1072" r:id="rId1060"/>
    <hyperlink xmlns:r="http://schemas.openxmlformats.org/officeDocument/2006/relationships" ref="F1073" r:id="rId1061"/>
    <hyperlink xmlns:r="http://schemas.openxmlformats.org/officeDocument/2006/relationships" ref="F1074" r:id="rId1062"/>
    <hyperlink xmlns:r="http://schemas.openxmlformats.org/officeDocument/2006/relationships" ref="F1075" r:id="rId1063"/>
    <hyperlink xmlns:r="http://schemas.openxmlformats.org/officeDocument/2006/relationships" ref="F1076" r:id="rId1064"/>
    <hyperlink xmlns:r="http://schemas.openxmlformats.org/officeDocument/2006/relationships" ref="F1077" r:id="rId1065"/>
    <hyperlink xmlns:r="http://schemas.openxmlformats.org/officeDocument/2006/relationships" ref="F1078" r:id="rId1066"/>
    <hyperlink xmlns:r="http://schemas.openxmlformats.org/officeDocument/2006/relationships" ref="F1079" r:id="rId1067"/>
    <hyperlink xmlns:r="http://schemas.openxmlformats.org/officeDocument/2006/relationships" ref="F1080" r:id="rId1068"/>
    <hyperlink xmlns:r="http://schemas.openxmlformats.org/officeDocument/2006/relationships" ref="F1081" r:id="rId1069"/>
    <hyperlink xmlns:r="http://schemas.openxmlformats.org/officeDocument/2006/relationships" ref="F1082" r:id="rId1070"/>
    <hyperlink xmlns:r="http://schemas.openxmlformats.org/officeDocument/2006/relationships" ref="F1083" r:id="rId1071"/>
    <hyperlink xmlns:r="http://schemas.openxmlformats.org/officeDocument/2006/relationships" ref="F1084" r:id="rId1072"/>
    <hyperlink xmlns:r="http://schemas.openxmlformats.org/officeDocument/2006/relationships" ref="F1085" r:id="rId1073"/>
    <hyperlink xmlns:r="http://schemas.openxmlformats.org/officeDocument/2006/relationships" ref="F1086" r:id="rId1074"/>
    <hyperlink xmlns:r="http://schemas.openxmlformats.org/officeDocument/2006/relationships" ref="F1087" r:id="rId1075"/>
    <hyperlink xmlns:r="http://schemas.openxmlformats.org/officeDocument/2006/relationships" ref="F1088" r:id="rId1076"/>
    <hyperlink xmlns:r="http://schemas.openxmlformats.org/officeDocument/2006/relationships" ref="F1089" r:id="rId1077"/>
    <hyperlink xmlns:r="http://schemas.openxmlformats.org/officeDocument/2006/relationships" ref="F1090" r:id="rId1078"/>
    <hyperlink xmlns:r="http://schemas.openxmlformats.org/officeDocument/2006/relationships" ref="F1091" r:id="rId1079"/>
    <hyperlink xmlns:r="http://schemas.openxmlformats.org/officeDocument/2006/relationships" ref="F1092" r:id="rId1080"/>
    <hyperlink xmlns:r="http://schemas.openxmlformats.org/officeDocument/2006/relationships" ref="F1093" r:id="rId1081"/>
    <hyperlink xmlns:r="http://schemas.openxmlformats.org/officeDocument/2006/relationships" ref="F1094" r:id="rId1082"/>
    <hyperlink xmlns:r="http://schemas.openxmlformats.org/officeDocument/2006/relationships" ref="F1095" r:id="rId1083"/>
    <hyperlink xmlns:r="http://schemas.openxmlformats.org/officeDocument/2006/relationships" ref="F1096" r:id="rId1084"/>
    <hyperlink xmlns:r="http://schemas.openxmlformats.org/officeDocument/2006/relationships" ref="F1097" r:id="rId1085"/>
    <hyperlink xmlns:r="http://schemas.openxmlformats.org/officeDocument/2006/relationships" ref="F1098" r:id="rId1086"/>
    <hyperlink xmlns:r="http://schemas.openxmlformats.org/officeDocument/2006/relationships" ref="F1099" r:id="rId1087"/>
    <hyperlink xmlns:r="http://schemas.openxmlformats.org/officeDocument/2006/relationships" ref="F1100" r:id="rId1088"/>
    <hyperlink xmlns:r="http://schemas.openxmlformats.org/officeDocument/2006/relationships" ref="F1101" r:id="rId1089"/>
    <hyperlink xmlns:r="http://schemas.openxmlformats.org/officeDocument/2006/relationships" ref="F1102" r:id="rId1090"/>
    <hyperlink xmlns:r="http://schemas.openxmlformats.org/officeDocument/2006/relationships" ref="F1103" r:id="rId1091"/>
    <hyperlink xmlns:r="http://schemas.openxmlformats.org/officeDocument/2006/relationships" ref="F1104" r:id="rId1092"/>
    <hyperlink xmlns:r="http://schemas.openxmlformats.org/officeDocument/2006/relationships" ref="F1105" r:id="rId1093"/>
    <hyperlink xmlns:r="http://schemas.openxmlformats.org/officeDocument/2006/relationships" ref="F1106" r:id="rId1094"/>
    <hyperlink xmlns:r="http://schemas.openxmlformats.org/officeDocument/2006/relationships" ref="F1107" r:id="rId1095"/>
    <hyperlink xmlns:r="http://schemas.openxmlformats.org/officeDocument/2006/relationships" ref="F1108" r:id="rId1096"/>
    <hyperlink xmlns:r="http://schemas.openxmlformats.org/officeDocument/2006/relationships" ref="F1109" r:id="rId1097"/>
    <hyperlink xmlns:r="http://schemas.openxmlformats.org/officeDocument/2006/relationships" ref="F1110" r:id="rId1098"/>
    <hyperlink xmlns:r="http://schemas.openxmlformats.org/officeDocument/2006/relationships" ref="F1111" r:id="rId1099"/>
    <hyperlink xmlns:r="http://schemas.openxmlformats.org/officeDocument/2006/relationships" ref="F1112" r:id="rId1100"/>
    <hyperlink xmlns:r="http://schemas.openxmlformats.org/officeDocument/2006/relationships" ref="F1113" r:id="rId1101"/>
    <hyperlink xmlns:r="http://schemas.openxmlformats.org/officeDocument/2006/relationships" ref="F1114" r:id="rId1102"/>
    <hyperlink xmlns:r="http://schemas.openxmlformats.org/officeDocument/2006/relationships" ref="F1115" r:id="rId1103"/>
    <hyperlink xmlns:r="http://schemas.openxmlformats.org/officeDocument/2006/relationships" ref="F1116" r:id="rId1104"/>
    <hyperlink xmlns:r="http://schemas.openxmlformats.org/officeDocument/2006/relationships" ref="F1117" r:id="rId1105"/>
    <hyperlink xmlns:r="http://schemas.openxmlformats.org/officeDocument/2006/relationships" ref="F1118" r:id="rId1106"/>
    <hyperlink xmlns:r="http://schemas.openxmlformats.org/officeDocument/2006/relationships" ref="F1119" r:id="rId1107"/>
    <hyperlink xmlns:r="http://schemas.openxmlformats.org/officeDocument/2006/relationships" ref="F1120" r:id="rId1108"/>
    <hyperlink xmlns:r="http://schemas.openxmlformats.org/officeDocument/2006/relationships" ref="F1121" r:id="rId1109"/>
    <hyperlink xmlns:r="http://schemas.openxmlformats.org/officeDocument/2006/relationships" ref="F1122" r:id="rId1110"/>
    <hyperlink xmlns:r="http://schemas.openxmlformats.org/officeDocument/2006/relationships" ref="F1123" r:id="rId1111"/>
    <hyperlink xmlns:r="http://schemas.openxmlformats.org/officeDocument/2006/relationships" ref="F1124" r:id="rId1112"/>
    <hyperlink xmlns:r="http://schemas.openxmlformats.org/officeDocument/2006/relationships" ref="F1125" r:id="rId1113"/>
    <hyperlink xmlns:r="http://schemas.openxmlformats.org/officeDocument/2006/relationships" ref="F1126" r:id="rId1114"/>
    <hyperlink xmlns:r="http://schemas.openxmlformats.org/officeDocument/2006/relationships" ref="F1127" r:id="rId1115"/>
    <hyperlink xmlns:r="http://schemas.openxmlformats.org/officeDocument/2006/relationships" ref="F1128" r:id="rId1116"/>
    <hyperlink xmlns:r="http://schemas.openxmlformats.org/officeDocument/2006/relationships" ref="F1129" r:id="rId1117"/>
    <hyperlink xmlns:r="http://schemas.openxmlformats.org/officeDocument/2006/relationships" ref="F1130" r:id="rId1118"/>
    <hyperlink xmlns:r="http://schemas.openxmlformats.org/officeDocument/2006/relationships" ref="F1131" r:id="rId1119"/>
    <hyperlink xmlns:r="http://schemas.openxmlformats.org/officeDocument/2006/relationships" ref="F1132" r:id="rId1120"/>
    <hyperlink xmlns:r="http://schemas.openxmlformats.org/officeDocument/2006/relationships" ref="F1133" r:id="rId1121"/>
    <hyperlink xmlns:r="http://schemas.openxmlformats.org/officeDocument/2006/relationships" ref="F1134" r:id="rId1122"/>
    <hyperlink xmlns:r="http://schemas.openxmlformats.org/officeDocument/2006/relationships" ref="F1135" r:id="rId1123"/>
    <hyperlink xmlns:r="http://schemas.openxmlformats.org/officeDocument/2006/relationships" ref="F1136" r:id="rId1124"/>
    <hyperlink xmlns:r="http://schemas.openxmlformats.org/officeDocument/2006/relationships" ref="F1137" r:id="rId1125"/>
    <hyperlink xmlns:r="http://schemas.openxmlformats.org/officeDocument/2006/relationships" ref="F1138" r:id="rId1126"/>
    <hyperlink xmlns:r="http://schemas.openxmlformats.org/officeDocument/2006/relationships" ref="F1139" r:id="rId1127"/>
    <hyperlink xmlns:r="http://schemas.openxmlformats.org/officeDocument/2006/relationships" ref="F1140" r:id="rId1128"/>
    <hyperlink xmlns:r="http://schemas.openxmlformats.org/officeDocument/2006/relationships" ref="F1141" r:id="rId1129"/>
    <hyperlink xmlns:r="http://schemas.openxmlformats.org/officeDocument/2006/relationships" ref="F1142" r:id="rId1130"/>
    <hyperlink xmlns:r="http://schemas.openxmlformats.org/officeDocument/2006/relationships" ref="F1143" r:id="rId1131"/>
    <hyperlink xmlns:r="http://schemas.openxmlformats.org/officeDocument/2006/relationships" ref="F1144" r:id="rId1132"/>
    <hyperlink xmlns:r="http://schemas.openxmlformats.org/officeDocument/2006/relationships" ref="F1145" r:id="rId1133"/>
    <hyperlink xmlns:r="http://schemas.openxmlformats.org/officeDocument/2006/relationships" ref="F1146" r:id="rId1134"/>
    <hyperlink xmlns:r="http://schemas.openxmlformats.org/officeDocument/2006/relationships" ref="F1147" r:id="rId1135"/>
    <hyperlink xmlns:r="http://schemas.openxmlformats.org/officeDocument/2006/relationships" ref="F1148" r:id="rId1136"/>
    <hyperlink xmlns:r="http://schemas.openxmlformats.org/officeDocument/2006/relationships" ref="F1149" r:id="rId1137"/>
    <hyperlink xmlns:r="http://schemas.openxmlformats.org/officeDocument/2006/relationships" ref="F1150" r:id="rId1138"/>
    <hyperlink xmlns:r="http://schemas.openxmlformats.org/officeDocument/2006/relationships" ref="F1151" r:id="rId1139"/>
    <hyperlink xmlns:r="http://schemas.openxmlformats.org/officeDocument/2006/relationships" ref="F1152" r:id="rId1140"/>
    <hyperlink xmlns:r="http://schemas.openxmlformats.org/officeDocument/2006/relationships" ref="F1153" r:id="rId1141"/>
    <hyperlink xmlns:r="http://schemas.openxmlformats.org/officeDocument/2006/relationships" ref="F1154" r:id="rId1142"/>
    <hyperlink xmlns:r="http://schemas.openxmlformats.org/officeDocument/2006/relationships" ref="F1155" r:id="rId1143"/>
    <hyperlink xmlns:r="http://schemas.openxmlformats.org/officeDocument/2006/relationships" ref="F1156" r:id="rId1144"/>
    <hyperlink xmlns:r="http://schemas.openxmlformats.org/officeDocument/2006/relationships" ref="F1157" r:id="rId1145"/>
    <hyperlink xmlns:r="http://schemas.openxmlformats.org/officeDocument/2006/relationships" ref="F1158" r:id="rId1146"/>
    <hyperlink xmlns:r="http://schemas.openxmlformats.org/officeDocument/2006/relationships" ref="F1159" r:id="rId1147"/>
    <hyperlink xmlns:r="http://schemas.openxmlformats.org/officeDocument/2006/relationships" ref="F1160" r:id="rId1148"/>
    <hyperlink xmlns:r="http://schemas.openxmlformats.org/officeDocument/2006/relationships" ref="F1161" r:id="rId1149"/>
    <hyperlink xmlns:r="http://schemas.openxmlformats.org/officeDocument/2006/relationships" ref="F1162" r:id="rId1150"/>
    <hyperlink xmlns:r="http://schemas.openxmlformats.org/officeDocument/2006/relationships" ref="F1163" r:id="rId1151"/>
    <hyperlink xmlns:r="http://schemas.openxmlformats.org/officeDocument/2006/relationships" ref="F1164" r:id="rId1152"/>
    <hyperlink xmlns:r="http://schemas.openxmlformats.org/officeDocument/2006/relationships" ref="F1165" r:id="rId1153"/>
    <hyperlink xmlns:r="http://schemas.openxmlformats.org/officeDocument/2006/relationships" ref="F1166" r:id="rId1154"/>
    <hyperlink xmlns:r="http://schemas.openxmlformats.org/officeDocument/2006/relationships" ref="F1167" r:id="rId1155"/>
    <hyperlink xmlns:r="http://schemas.openxmlformats.org/officeDocument/2006/relationships" ref="F1168" r:id="rId1156"/>
    <hyperlink xmlns:r="http://schemas.openxmlformats.org/officeDocument/2006/relationships" ref="F1169" r:id="rId1157"/>
    <hyperlink xmlns:r="http://schemas.openxmlformats.org/officeDocument/2006/relationships" ref="F1170" r:id="rId1158"/>
    <hyperlink xmlns:r="http://schemas.openxmlformats.org/officeDocument/2006/relationships" ref="F1171" r:id="rId1159"/>
    <hyperlink xmlns:r="http://schemas.openxmlformats.org/officeDocument/2006/relationships" ref="F1172" r:id="rId1160"/>
    <hyperlink xmlns:r="http://schemas.openxmlformats.org/officeDocument/2006/relationships" ref="F1173" r:id="rId1161"/>
    <hyperlink xmlns:r="http://schemas.openxmlformats.org/officeDocument/2006/relationships" ref="F1174" r:id="rId1162"/>
    <hyperlink xmlns:r="http://schemas.openxmlformats.org/officeDocument/2006/relationships" ref="F1175" r:id="rId1163"/>
    <hyperlink xmlns:r="http://schemas.openxmlformats.org/officeDocument/2006/relationships" ref="F1176" r:id="rId1164"/>
    <hyperlink xmlns:r="http://schemas.openxmlformats.org/officeDocument/2006/relationships" ref="F1177" r:id="rId1165"/>
    <hyperlink xmlns:r="http://schemas.openxmlformats.org/officeDocument/2006/relationships" ref="F1178" r:id="rId1166"/>
    <hyperlink xmlns:r="http://schemas.openxmlformats.org/officeDocument/2006/relationships" ref="F1179" r:id="rId1167"/>
    <hyperlink xmlns:r="http://schemas.openxmlformats.org/officeDocument/2006/relationships" ref="F1180" r:id="rId1168"/>
    <hyperlink xmlns:r="http://schemas.openxmlformats.org/officeDocument/2006/relationships" ref="F1181" r:id="rId1169"/>
    <hyperlink xmlns:r="http://schemas.openxmlformats.org/officeDocument/2006/relationships" ref="F1182" r:id="rId1170"/>
    <hyperlink xmlns:r="http://schemas.openxmlformats.org/officeDocument/2006/relationships" ref="F1183" r:id="rId1171"/>
    <hyperlink xmlns:r="http://schemas.openxmlformats.org/officeDocument/2006/relationships" ref="F1185" r:id="rId1172"/>
    <hyperlink xmlns:r="http://schemas.openxmlformats.org/officeDocument/2006/relationships" ref="F1186" r:id="rId1173"/>
    <hyperlink xmlns:r="http://schemas.openxmlformats.org/officeDocument/2006/relationships" ref="F1187" r:id="rId1174"/>
    <hyperlink xmlns:r="http://schemas.openxmlformats.org/officeDocument/2006/relationships" ref="F1188" r:id="rId1175"/>
    <hyperlink xmlns:r="http://schemas.openxmlformats.org/officeDocument/2006/relationships" ref="F1189" r:id="rId1176"/>
    <hyperlink xmlns:r="http://schemas.openxmlformats.org/officeDocument/2006/relationships" ref="F1191" r:id="rId1177"/>
    <hyperlink xmlns:r="http://schemas.openxmlformats.org/officeDocument/2006/relationships" ref="F1192" r:id="rId1178"/>
    <hyperlink xmlns:r="http://schemas.openxmlformats.org/officeDocument/2006/relationships" ref="F1193" r:id="rId1179"/>
    <hyperlink xmlns:r="http://schemas.openxmlformats.org/officeDocument/2006/relationships" ref="F1194" r:id="rId1180"/>
    <hyperlink xmlns:r="http://schemas.openxmlformats.org/officeDocument/2006/relationships" ref="F1195" r:id="rId1181"/>
    <hyperlink xmlns:r="http://schemas.openxmlformats.org/officeDocument/2006/relationships" ref="F1196" r:id="rId1182"/>
    <hyperlink xmlns:r="http://schemas.openxmlformats.org/officeDocument/2006/relationships" ref="F1197" r:id="rId1183"/>
    <hyperlink xmlns:r="http://schemas.openxmlformats.org/officeDocument/2006/relationships" ref="F1198" r:id="rId1184"/>
    <hyperlink xmlns:r="http://schemas.openxmlformats.org/officeDocument/2006/relationships" ref="F1199" r:id="rId1185"/>
    <hyperlink xmlns:r="http://schemas.openxmlformats.org/officeDocument/2006/relationships" ref="F1202" r:id="rId1186"/>
    <hyperlink xmlns:r="http://schemas.openxmlformats.org/officeDocument/2006/relationships" ref="F1203" r:id="rId1187"/>
    <hyperlink xmlns:r="http://schemas.openxmlformats.org/officeDocument/2006/relationships" ref="F1204" r:id="rId1188"/>
    <hyperlink xmlns:r="http://schemas.openxmlformats.org/officeDocument/2006/relationships" ref="F1205" r:id="rId1189"/>
    <hyperlink xmlns:r="http://schemas.openxmlformats.org/officeDocument/2006/relationships" ref="F1206" r:id="rId1190"/>
    <hyperlink xmlns:r="http://schemas.openxmlformats.org/officeDocument/2006/relationships" ref="F1207" r:id="rId1191"/>
    <hyperlink xmlns:r="http://schemas.openxmlformats.org/officeDocument/2006/relationships" ref="F1208" r:id="rId1192"/>
    <hyperlink xmlns:r="http://schemas.openxmlformats.org/officeDocument/2006/relationships" ref="F1209" r:id="rId1193"/>
    <hyperlink xmlns:r="http://schemas.openxmlformats.org/officeDocument/2006/relationships" ref="F1210" r:id="rId1194"/>
    <hyperlink xmlns:r="http://schemas.openxmlformats.org/officeDocument/2006/relationships" ref="F1211" r:id="rId1195"/>
    <hyperlink xmlns:r="http://schemas.openxmlformats.org/officeDocument/2006/relationships" ref="F1212" r:id="rId1196"/>
    <hyperlink xmlns:r="http://schemas.openxmlformats.org/officeDocument/2006/relationships" ref="F1213" r:id="rId1197"/>
    <hyperlink xmlns:r="http://schemas.openxmlformats.org/officeDocument/2006/relationships" ref="F1214" r:id="rId1198"/>
    <hyperlink xmlns:r="http://schemas.openxmlformats.org/officeDocument/2006/relationships" ref="F1215" r:id="rId1199"/>
    <hyperlink xmlns:r="http://schemas.openxmlformats.org/officeDocument/2006/relationships" ref="F1216" r:id="rId1200"/>
    <hyperlink xmlns:r="http://schemas.openxmlformats.org/officeDocument/2006/relationships" ref="F1217" r:id="rId1201"/>
    <hyperlink xmlns:r="http://schemas.openxmlformats.org/officeDocument/2006/relationships" ref="F1218" r:id="rId1202"/>
    <hyperlink xmlns:r="http://schemas.openxmlformats.org/officeDocument/2006/relationships" ref="F1219" r:id="rId1203"/>
    <hyperlink xmlns:r="http://schemas.openxmlformats.org/officeDocument/2006/relationships" ref="F1220" r:id="rId1204"/>
    <hyperlink xmlns:r="http://schemas.openxmlformats.org/officeDocument/2006/relationships" ref="F1221" r:id="rId1205"/>
    <hyperlink xmlns:r="http://schemas.openxmlformats.org/officeDocument/2006/relationships" ref="F1222" r:id="rId1206"/>
    <hyperlink xmlns:r="http://schemas.openxmlformats.org/officeDocument/2006/relationships" ref="F1223" r:id="rId1207"/>
    <hyperlink xmlns:r="http://schemas.openxmlformats.org/officeDocument/2006/relationships" ref="F1224" r:id="rId1208"/>
    <hyperlink xmlns:r="http://schemas.openxmlformats.org/officeDocument/2006/relationships" ref="F1225" r:id="rId1209"/>
    <hyperlink xmlns:r="http://schemas.openxmlformats.org/officeDocument/2006/relationships" ref="F1226" r:id="rId1210"/>
    <hyperlink xmlns:r="http://schemas.openxmlformats.org/officeDocument/2006/relationships" ref="F1227" r:id="rId1211"/>
    <hyperlink xmlns:r="http://schemas.openxmlformats.org/officeDocument/2006/relationships" ref="F1228" r:id="rId1212"/>
    <hyperlink xmlns:r="http://schemas.openxmlformats.org/officeDocument/2006/relationships" ref="F1229" r:id="rId1213"/>
    <hyperlink xmlns:r="http://schemas.openxmlformats.org/officeDocument/2006/relationships" ref="F1230" r:id="rId1214"/>
    <hyperlink xmlns:r="http://schemas.openxmlformats.org/officeDocument/2006/relationships" ref="F1231" r:id="rId1215"/>
    <hyperlink xmlns:r="http://schemas.openxmlformats.org/officeDocument/2006/relationships" ref="F1232" r:id="rId1216"/>
    <hyperlink xmlns:r="http://schemas.openxmlformats.org/officeDocument/2006/relationships" ref="F1233" r:id="rId1217"/>
    <hyperlink xmlns:r="http://schemas.openxmlformats.org/officeDocument/2006/relationships" ref="F1234" r:id="rId1218"/>
    <hyperlink xmlns:r="http://schemas.openxmlformats.org/officeDocument/2006/relationships" ref="F1235" r:id="rId1219"/>
    <hyperlink xmlns:r="http://schemas.openxmlformats.org/officeDocument/2006/relationships" ref="F1236" r:id="rId1220"/>
    <hyperlink xmlns:r="http://schemas.openxmlformats.org/officeDocument/2006/relationships" ref="F1237" r:id="rId1221"/>
    <hyperlink xmlns:r="http://schemas.openxmlformats.org/officeDocument/2006/relationships" ref="F1238" r:id="rId1222"/>
    <hyperlink xmlns:r="http://schemas.openxmlformats.org/officeDocument/2006/relationships" ref="F1239" r:id="rId1223"/>
    <hyperlink xmlns:r="http://schemas.openxmlformats.org/officeDocument/2006/relationships" ref="F1240" r:id="rId1224"/>
    <hyperlink xmlns:r="http://schemas.openxmlformats.org/officeDocument/2006/relationships" ref="F1241" r:id="rId1225"/>
    <hyperlink xmlns:r="http://schemas.openxmlformats.org/officeDocument/2006/relationships" ref="F1242" r:id="rId1226"/>
    <hyperlink xmlns:r="http://schemas.openxmlformats.org/officeDocument/2006/relationships" ref="F1243" r:id="rId1227"/>
    <hyperlink xmlns:r="http://schemas.openxmlformats.org/officeDocument/2006/relationships" ref="F1244" r:id="rId1228"/>
    <hyperlink xmlns:r="http://schemas.openxmlformats.org/officeDocument/2006/relationships" ref="F1245" r:id="rId1229"/>
    <hyperlink xmlns:r="http://schemas.openxmlformats.org/officeDocument/2006/relationships" ref="F1246" r:id="rId1230"/>
    <hyperlink xmlns:r="http://schemas.openxmlformats.org/officeDocument/2006/relationships" ref="F1247" r:id="rId1231"/>
    <hyperlink xmlns:r="http://schemas.openxmlformats.org/officeDocument/2006/relationships" ref="F1248" r:id="rId1232"/>
    <hyperlink xmlns:r="http://schemas.openxmlformats.org/officeDocument/2006/relationships" ref="F1249" r:id="rId1233"/>
    <hyperlink xmlns:r="http://schemas.openxmlformats.org/officeDocument/2006/relationships" ref="F1250" r:id="rId1234"/>
    <hyperlink xmlns:r="http://schemas.openxmlformats.org/officeDocument/2006/relationships" ref="F1251" r:id="rId1235"/>
    <hyperlink xmlns:r="http://schemas.openxmlformats.org/officeDocument/2006/relationships" ref="F1252" r:id="rId1236"/>
    <hyperlink xmlns:r="http://schemas.openxmlformats.org/officeDocument/2006/relationships" ref="F1253" r:id="rId1237"/>
    <hyperlink xmlns:r="http://schemas.openxmlformats.org/officeDocument/2006/relationships" ref="F1254" r:id="rId1238"/>
    <hyperlink xmlns:r="http://schemas.openxmlformats.org/officeDocument/2006/relationships" ref="F1255" r:id="rId1239"/>
    <hyperlink xmlns:r="http://schemas.openxmlformats.org/officeDocument/2006/relationships" ref="F1256" r:id="rId1240"/>
    <hyperlink xmlns:r="http://schemas.openxmlformats.org/officeDocument/2006/relationships" ref="F1257" r:id="rId1241"/>
    <hyperlink xmlns:r="http://schemas.openxmlformats.org/officeDocument/2006/relationships" ref="F1258" r:id="rId1242"/>
    <hyperlink xmlns:r="http://schemas.openxmlformats.org/officeDocument/2006/relationships" ref="F1259" r:id="rId1243"/>
    <hyperlink xmlns:r="http://schemas.openxmlformats.org/officeDocument/2006/relationships" ref="F1260" r:id="rId1244"/>
    <hyperlink xmlns:r="http://schemas.openxmlformats.org/officeDocument/2006/relationships" ref="F1261" r:id="rId1245"/>
    <hyperlink xmlns:r="http://schemas.openxmlformats.org/officeDocument/2006/relationships" ref="F1262" r:id="rId1246"/>
    <hyperlink xmlns:r="http://schemas.openxmlformats.org/officeDocument/2006/relationships" ref="F1263" r:id="rId1247"/>
    <hyperlink xmlns:r="http://schemas.openxmlformats.org/officeDocument/2006/relationships" ref="F1264" r:id="rId1248"/>
    <hyperlink xmlns:r="http://schemas.openxmlformats.org/officeDocument/2006/relationships" ref="F1265" r:id="rId1249"/>
    <hyperlink xmlns:r="http://schemas.openxmlformats.org/officeDocument/2006/relationships" ref="F1266" r:id="rId1250"/>
    <hyperlink xmlns:r="http://schemas.openxmlformats.org/officeDocument/2006/relationships" ref="F1267" r:id="rId1251"/>
    <hyperlink xmlns:r="http://schemas.openxmlformats.org/officeDocument/2006/relationships" ref="F1268" r:id="rId1252"/>
    <hyperlink xmlns:r="http://schemas.openxmlformats.org/officeDocument/2006/relationships" ref="F1269" r:id="rId1253"/>
    <hyperlink xmlns:r="http://schemas.openxmlformats.org/officeDocument/2006/relationships" ref="F1270" r:id="rId1254"/>
    <hyperlink xmlns:r="http://schemas.openxmlformats.org/officeDocument/2006/relationships" ref="F1271" r:id="rId1255"/>
    <hyperlink xmlns:r="http://schemas.openxmlformats.org/officeDocument/2006/relationships" ref="F1272" r:id="rId1256"/>
    <hyperlink xmlns:r="http://schemas.openxmlformats.org/officeDocument/2006/relationships" ref="F1273" r:id="rId1257"/>
    <hyperlink xmlns:r="http://schemas.openxmlformats.org/officeDocument/2006/relationships" ref="F1274" r:id="rId1258"/>
    <hyperlink xmlns:r="http://schemas.openxmlformats.org/officeDocument/2006/relationships" ref="F1275" r:id="rId1259"/>
    <hyperlink xmlns:r="http://schemas.openxmlformats.org/officeDocument/2006/relationships" ref="F1276" r:id="rId1260"/>
    <hyperlink xmlns:r="http://schemas.openxmlformats.org/officeDocument/2006/relationships" ref="F1277" r:id="rId1261"/>
    <hyperlink xmlns:r="http://schemas.openxmlformats.org/officeDocument/2006/relationships" ref="F1278" r:id="rId1262"/>
    <hyperlink xmlns:r="http://schemas.openxmlformats.org/officeDocument/2006/relationships" ref="F1279" r:id="rId1263"/>
    <hyperlink xmlns:r="http://schemas.openxmlformats.org/officeDocument/2006/relationships" ref="F1280" r:id="rId1264"/>
    <hyperlink xmlns:r="http://schemas.openxmlformats.org/officeDocument/2006/relationships" ref="F1281" r:id="rId1265"/>
    <hyperlink xmlns:r="http://schemas.openxmlformats.org/officeDocument/2006/relationships" ref="F1282" r:id="rId1266"/>
    <hyperlink xmlns:r="http://schemas.openxmlformats.org/officeDocument/2006/relationships" ref="F1283" r:id="rId1267"/>
    <hyperlink xmlns:r="http://schemas.openxmlformats.org/officeDocument/2006/relationships" ref="F1284" r:id="rId1268"/>
    <hyperlink xmlns:r="http://schemas.openxmlformats.org/officeDocument/2006/relationships" ref="F1285" r:id="rId1269"/>
    <hyperlink xmlns:r="http://schemas.openxmlformats.org/officeDocument/2006/relationships" ref="F1286" r:id="rId1270"/>
    <hyperlink xmlns:r="http://schemas.openxmlformats.org/officeDocument/2006/relationships" ref="F1287" r:id="rId1271"/>
    <hyperlink xmlns:r="http://schemas.openxmlformats.org/officeDocument/2006/relationships" ref="F1288" r:id="rId1272"/>
    <hyperlink xmlns:r="http://schemas.openxmlformats.org/officeDocument/2006/relationships" ref="F1289" r:id="rId1273"/>
    <hyperlink xmlns:r="http://schemas.openxmlformats.org/officeDocument/2006/relationships" ref="F1290" r:id="rId1274"/>
    <hyperlink xmlns:r="http://schemas.openxmlformats.org/officeDocument/2006/relationships" ref="F1291" r:id="rId1275"/>
    <hyperlink xmlns:r="http://schemas.openxmlformats.org/officeDocument/2006/relationships" ref="F1292" r:id="rId1276"/>
    <hyperlink xmlns:r="http://schemas.openxmlformats.org/officeDocument/2006/relationships" ref="F1293" r:id="rId1277"/>
    <hyperlink xmlns:r="http://schemas.openxmlformats.org/officeDocument/2006/relationships" ref="F1294" r:id="rId1278"/>
    <hyperlink xmlns:r="http://schemas.openxmlformats.org/officeDocument/2006/relationships" ref="F1295" r:id="rId1279"/>
    <hyperlink xmlns:r="http://schemas.openxmlformats.org/officeDocument/2006/relationships" ref="F1296" r:id="rId1280"/>
    <hyperlink xmlns:r="http://schemas.openxmlformats.org/officeDocument/2006/relationships" ref="F1297" r:id="rId1281"/>
    <hyperlink xmlns:r="http://schemas.openxmlformats.org/officeDocument/2006/relationships" ref="F1298" r:id="rId1282"/>
    <hyperlink xmlns:r="http://schemas.openxmlformats.org/officeDocument/2006/relationships" ref="F1299" r:id="rId1283"/>
    <hyperlink xmlns:r="http://schemas.openxmlformats.org/officeDocument/2006/relationships" ref="F1300" r:id="rId1284"/>
    <hyperlink xmlns:r="http://schemas.openxmlformats.org/officeDocument/2006/relationships" ref="F1301" r:id="rId1285"/>
    <hyperlink xmlns:r="http://schemas.openxmlformats.org/officeDocument/2006/relationships" ref="F1302" r:id="rId1286"/>
    <hyperlink xmlns:r="http://schemas.openxmlformats.org/officeDocument/2006/relationships" ref="F1303" r:id="rId1287"/>
    <hyperlink xmlns:r="http://schemas.openxmlformats.org/officeDocument/2006/relationships" ref="F1304" r:id="rId1288"/>
    <hyperlink xmlns:r="http://schemas.openxmlformats.org/officeDocument/2006/relationships" ref="F1305" r:id="rId1289"/>
    <hyperlink xmlns:r="http://schemas.openxmlformats.org/officeDocument/2006/relationships" ref="F1306" r:id="rId1290"/>
    <hyperlink xmlns:r="http://schemas.openxmlformats.org/officeDocument/2006/relationships" ref="F1307" r:id="rId1291"/>
    <hyperlink xmlns:r="http://schemas.openxmlformats.org/officeDocument/2006/relationships" ref="F1308" r:id="rId1292"/>
    <hyperlink xmlns:r="http://schemas.openxmlformats.org/officeDocument/2006/relationships" ref="F1309" r:id="rId1293"/>
    <hyperlink xmlns:r="http://schemas.openxmlformats.org/officeDocument/2006/relationships" ref="F1310" r:id="rId1294"/>
    <hyperlink xmlns:r="http://schemas.openxmlformats.org/officeDocument/2006/relationships" ref="F1311" r:id="rId1295"/>
    <hyperlink xmlns:r="http://schemas.openxmlformats.org/officeDocument/2006/relationships" ref="F1312" r:id="rId1296"/>
    <hyperlink xmlns:r="http://schemas.openxmlformats.org/officeDocument/2006/relationships" ref="F1313" r:id="rId1297"/>
    <hyperlink xmlns:r="http://schemas.openxmlformats.org/officeDocument/2006/relationships" ref="F1314" r:id="rId1298"/>
    <hyperlink xmlns:r="http://schemas.openxmlformats.org/officeDocument/2006/relationships" ref="F1315" r:id="rId1299"/>
    <hyperlink xmlns:r="http://schemas.openxmlformats.org/officeDocument/2006/relationships" ref="F1316" r:id="rId1300"/>
    <hyperlink xmlns:r="http://schemas.openxmlformats.org/officeDocument/2006/relationships" ref="F1317" r:id="rId1301"/>
    <hyperlink xmlns:r="http://schemas.openxmlformats.org/officeDocument/2006/relationships" ref="F1318" r:id="rId1302"/>
    <hyperlink xmlns:r="http://schemas.openxmlformats.org/officeDocument/2006/relationships" ref="F1319" r:id="rId1303"/>
    <hyperlink xmlns:r="http://schemas.openxmlformats.org/officeDocument/2006/relationships" ref="F1320" r:id="rId1304"/>
    <hyperlink xmlns:r="http://schemas.openxmlformats.org/officeDocument/2006/relationships" ref="F1321" r:id="rId1305"/>
    <hyperlink xmlns:r="http://schemas.openxmlformats.org/officeDocument/2006/relationships" ref="F1322" r:id="rId1306"/>
    <hyperlink xmlns:r="http://schemas.openxmlformats.org/officeDocument/2006/relationships" ref="F1323" r:id="rId1307"/>
    <hyperlink xmlns:r="http://schemas.openxmlformats.org/officeDocument/2006/relationships" ref="F1324" r:id="rId1308"/>
    <hyperlink xmlns:r="http://schemas.openxmlformats.org/officeDocument/2006/relationships" ref="F1325" r:id="rId1309"/>
    <hyperlink xmlns:r="http://schemas.openxmlformats.org/officeDocument/2006/relationships" ref="F1326" r:id="rId1310"/>
    <hyperlink xmlns:r="http://schemas.openxmlformats.org/officeDocument/2006/relationships" ref="F1327" r:id="rId1311"/>
    <hyperlink xmlns:r="http://schemas.openxmlformats.org/officeDocument/2006/relationships" ref="F1328" r:id="rId1312"/>
    <hyperlink xmlns:r="http://schemas.openxmlformats.org/officeDocument/2006/relationships" ref="F1329" r:id="rId1313"/>
    <hyperlink xmlns:r="http://schemas.openxmlformats.org/officeDocument/2006/relationships" ref="F1330" r:id="rId1314"/>
    <hyperlink xmlns:r="http://schemas.openxmlformats.org/officeDocument/2006/relationships" ref="F1331" r:id="rId1315"/>
    <hyperlink xmlns:r="http://schemas.openxmlformats.org/officeDocument/2006/relationships" ref="F1332" r:id="rId1316"/>
    <hyperlink xmlns:r="http://schemas.openxmlformats.org/officeDocument/2006/relationships" ref="F1333" r:id="rId1317"/>
    <hyperlink xmlns:r="http://schemas.openxmlformats.org/officeDocument/2006/relationships" ref="F1334" r:id="rId1318"/>
    <hyperlink xmlns:r="http://schemas.openxmlformats.org/officeDocument/2006/relationships" ref="F1335" r:id="rId1319"/>
    <hyperlink xmlns:r="http://schemas.openxmlformats.org/officeDocument/2006/relationships" ref="F1336" r:id="rId1320"/>
    <hyperlink xmlns:r="http://schemas.openxmlformats.org/officeDocument/2006/relationships" ref="F1337" r:id="rId1321"/>
    <hyperlink xmlns:r="http://schemas.openxmlformats.org/officeDocument/2006/relationships" ref="F1338" r:id="rId1322"/>
    <hyperlink xmlns:r="http://schemas.openxmlformats.org/officeDocument/2006/relationships" ref="F1339" r:id="rId1323"/>
    <hyperlink xmlns:r="http://schemas.openxmlformats.org/officeDocument/2006/relationships" ref="F1340" r:id="rId1324"/>
    <hyperlink xmlns:r="http://schemas.openxmlformats.org/officeDocument/2006/relationships" ref="F1341" r:id="rId1325"/>
    <hyperlink xmlns:r="http://schemas.openxmlformats.org/officeDocument/2006/relationships" ref="F1342" r:id="rId1326"/>
    <hyperlink xmlns:r="http://schemas.openxmlformats.org/officeDocument/2006/relationships" ref="F1343" r:id="rId1327"/>
    <hyperlink xmlns:r="http://schemas.openxmlformats.org/officeDocument/2006/relationships" ref="F1344" r:id="rId1328"/>
    <hyperlink xmlns:r="http://schemas.openxmlformats.org/officeDocument/2006/relationships" ref="F1345" r:id="rId1329"/>
    <hyperlink xmlns:r="http://schemas.openxmlformats.org/officeDocument/2006/relationships" ref="F1346" r:id="rId1330"/>
    <hyperlink xmlns:r="http://schemas.openxmlformats.org/officeDocument/2006/relationships" ref="F1347" r:id="rId1331"/>
    <hyperlink xmlns:r="http://schemas.openxmlformats.org/officeDocument/2006/relationships" ref="F1348" r:id="rId1332"/>
    <hyperlink xmlns:r="http://schemas.openxmlformats.org/officeDocument/2006/relationships" ref="F1349" r:id="rId1333"/>
    <hyperlink xmlns:r="http://schemas.openxmlformats.org/officeDocument/2006/relationships" ref="F1350" r:id="rId1334"/>
    <hyperlink xmlns:r="http://schemas.openxmlformats.org/officeDocument/2006/relationships" ref="F1351" r:id="rId1335"/>
    <hyperlink xmlns:r="http://schemas.openxmlformats.org/officeDocument/2006/relationships" ref="F1354" r:id="rId1336"/>
  </hyperlink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server11</dc:creator>
  <dcterms:created xsi:type="dcterms:W3CDTF">2026-10-12T08:42:48Z</dcterms:created>
  <dcterms:modified xsi:type="dcterms:W3CDTF">2026-10-13T09:57:46Z</dcterms:modified>
  <cp:lastModifiedBy>Шевченко Софья Владимировна</cp:lastModifiedBy>
</cp:coreProperties>
</file>