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workbookProtection workbookAlgorithmName="SHA-512" workbookHashValue="B7EaRf4kf5El0Hcc8FGdwRqEkRyUsOivyVqGsgxaTmmYx5ksW1gSHP6KehDi8Y8oj62SoutfDOTYqH0zsxKaNw==" workbookSaltValue="/s3gWrMb+aABolajDzKSgg==" workbookSpinCount="100000" lockStructure="1"/>
  <bookViews>
    <workbookView xWindow="-120" yWindow="-120" windowWidth="29040" windowHeight="15720"/>
  </bookViews>
  <sheets>
    <sheet name="Прайс" sheetId="1" r:id="rId1"/>
  </sheets>
  <definedNames>
    <definedName name="_xlnm._FilterDatabase" localSheetId="0" hidden="1">Прайс!#REF!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8" i="1" l="1"/>
  <c r="G68" i="1" s="1"/>
  <c r="D69" i="1"/>
  <c r="F68" i="1"/>
  <c r="A68" i="1"/>
  <c r="A54" i="1"/>
  <c r="F54" i="1"/>
  <c r="A10" i="1"/>
  <c r="A11" i="1"/>
  <c r="F11" i="1"/>
  <c r="F10" i="1"/>
  <c r="F14" i="1"/>
  <c r="A14" i="1"/>
  <c r="F13" i="1"/>
  <c r="A13" i="1"/>
  <c r="F12" i="1"/>
  <c r="A12" i="1"/>
  <c r="A45" i="1"/>
  <c r="F45" i="1"/>
  <c r="A31" i="1"/>
  <c r="F31" i="1"/>
  <c r="A34" i="1"/>
  <c r="F34" i="1"/>
  <c r="A84" i="1"/>
  <c r="F84" i="1"/>
  <c r="A20" i="1"/>
  <c r="F20" i="1"/>
  <c r="F15" i="1" l="1"/>
  <c r="A15" i="1"/>
  <c r="A16" i="1" l="1"/>
  <c r="A17" i="1"/>
  <c r="F18" i="1"/>
  <c r="A18" i="1"/>
  <c r="A59" i="1" l="1"/>
  <c r="A58" i="1"/>
  <c r="A57" i="1"/>
  <c r="A56" i="1"/>
  <c r="F67" i="1"/>
  <c r="A67" i="1"/>
  <c r="A42" i="1"/>
  <c r="F42" i="1"/>
  <c r="F43" i="1"/>
  <c r="A43" i="1"/>
  <c r="F83" i="1"/>
  <c r="A83" i="1"/>
  <c r="F82" i="1"/>
  <c r="A82" i="1"/>
  <c r="F81" i="1"/>
  <c r="A81" i="1"/>
  <c r="F80" i="1"/>
  <c r="A80" i="1"/>
  <c r="F79" i="1"/>
  <c r="A79" i="1"/>
  <c r="F17" i="1" l="1"/>
  <c r="F16" i="1"/>
  <c r="F19" i="1" l="1"/>
  <c r="A19" i="1"/>
  <c r="A85" i="1" l="1"/>
  <c r="F85" i="1"/>
  <c r="A28" i="1" l="1"/>
  <c r="A29" i="1"/>
  <c r="F29" i="1"/>
  <c r="A30" i="1"/>
  <c r="F30" i="1"/>
  <c r="A32" i="1"/>
  <c r="F32" i="1"/>
  <c r="A33" i="1"/>
  <c r="F33" i="1"/>
  <c r="A35" i="1"/>
  <c r="F35" i="1"/>
  <c r="A36" i="1"/>
  <c r="F36" i="1"/>
  <c r="A37" i="1"/>
  <c r="F37" i="1"/>
  <c r="A38" i="1"/>
  <c r="F38" i="1"/>
  <c r="A39" i="1"/>
  <c r="F39" i="1"/>
  <c r="A40" i="1"/>
  <c r="F40" i="1"/>
  <c r="A41" i="1"/>
  <c r="F41" i="1"/>
  <c r="A44" i="1"/>
  <c r="F44" i="1"/>
  <c r="A46" i="1"/>
  <c r="F46" i="1"/>
  <c r="A47" i="1"/>
  <c r="F47" i="1"/>
  <c r="A48" i="1"/>
  <c r="F48" i="1"/>
  <c r="F55" i="1"/>
  <c r="A55" i="1"/>
  <c r="F53" i="1"/>
  <c r="A53" i="1"/>
  <c r="F97" i="1" l="1"/>
  <c r="A97" i="1"/>
  <c r="F96" i="1"/>
  <c r="A96" i="1"/>
  <c r="F95" i="1"/>
  <c r="A95" i="1"/>
  <c r="F94" i="1"/>
  <c r="A94" i="1"/>
  <c r="F93" i="1"/>
  <c r="A93" i="1"/>
  <c r="F92" i="1"/>
  <c r="A92" i="1"/>
  <c r="F22" i="1"/>
  <c r="A22" i="1"/>
  <c r="F78" i="1" l="1"/>
  <c r="A78" i="1"/>
  <c r="F77" i="1"/>
  <c r="A77" i="1"/>
  <c r="F76" i="1"/>
  <c r="A76" i="1"/>
  <c r="F75" i="1"/>
  <c r="A75" i="1"/>
  <c r="F74" i="1"/>
  <c r="A74" i="1"/>
  <c r="F73" i="1"/>
  <c r="A73" i="1"/>
  <c r="F72" i="1"/>
  <c r="A72" i="1"/>
  <c r="F71" i="1"/>
  <c r="A71" i="1"/>
  <c r="F70" i="1"/>
  <c r="A70" i="1"/>
  <c r="F69" i="1"/>
  <c r="A69" i="1"/>
  <c r="F66" i="1"/>
  <c r="A66" i="1"/>
  <c r="F65" i="1"/>
  <c r="A65" i="1"/>
  <c r="F64" i="1"/>
  <c r="A64" i="1"/>
  <c r="F63" i="1"/>
  <c r="A63" i="1"/>
  <c r="F62" i="1"/>
  <c r="A62" i="1"/>
  <c r="F61" i="1"/>
  <c r="A61" i="1"/>
  <c r="F60" i="1"/>
  <c r="A60" i="1"/>
  <c r="F59" i="1"/>
  <c r="F58" i="1"/>
  <c r="F57" i="1"/>
  <c r="F56" i="1"/>
  <c r="F52" i="1"/>
  <c r="A52" i="1"/>
  <c r="F51" i="1"/>
  <c r="A51" i="1"/>
  <c r="F50" i="1"/>
  <c r="A50" i="1"/>
  <c r="F49" i="1"/>
  <c r="A49" i="1"/>
  <c r="F28" i="1"/>
  <c r="F27" i="1"/>
  <c r="A27" i="1"/>
  <c r="F26" i="1"/>
  <c r="A26" i="1"/>
  <c r="A21" i="1" l="1"/>
  <c r="F21" i="1"/>
  <c r="F104" i="1" l="1"/>
  <c r="A104" i="1"/>
  <c r="F103" i="1"/>
  <c r="A103" i="1"/>
  <c r="F102" i="1"/>
  <c r="A102" i="1"/>
  <c r="F101" i="1" l="1"/>
  <c r="A101" i="1"/>
  <c r="F100" i="1"/>
  <c r="A100" i="1"/>
  <c r="F99" i="1"/>
  <c r="A99" i="1"/>
  <c r="F98" i="1"/>
  <c r="A98" i="1"/>
  <c r="F91" i="1"/>
  <c r="A91" i="1"/>
  <c r="F90" i="1"/>
  <c r="A90" i="1"/>
  <c r="F89" i="1"/>
  <c r="A89" i="1"/>
  <c r="F88" i="1"/>
  <c r="A88" i="1"/>
  <c r="F87" i="1"/>
  <c r="A87" i="1"/>
  <c r="F86" i="1"/>
  <c r="A86" i="1"/>
  <c r="F105" i="1" l="1"/>
  <c r="A105" i="1"/>
  <c r="A118" i="1" l="1"/>
  <c r="F118" i="1"/>
  <c r="G118" i="1"/>
  <c r="A119" i="1"/>
  <c r="F119" i="1"/>
  <c r="G119" i="1"/>
  <c r="A120" i="1"/>
  <c r="F120" i="1"/>
  <c r="G120" i="1"/>
  <c r="A121" i="1"/>
  <c r="F121" i="1"/>
  <c r="G121" i="1"/>
  <c r="A122" i="1"/>
  <c r="F122" i="1"/>
  <c r="G122" i="1"/>
  <c r="A123" i="1"/>
  <c r="F123" i="1"/>
  <c r="G123" i="1"/>
  <c r="A124" i="1"/>
  <c r="F124" i="1"/>
  <c r="G124" i="1"/>
  <c r="A125" i="1"/>
  <c r="F125" i="1"/>
  <c r="G125" i="1"/>
  <c r="A126" i="1"/>
  <c r="F126" i="1"/>
  <c r="G126" i="1"/>
  <c r="A127" i="1"/>
  <c r="F127" i="1"/>
  <c r="G127" i="1"/>
  <c r="A128" i="1"/>
  <c r="F128" i="1"/>
  <c r="G128" i="1"/>
  <c r="A129" i="1"/>
  <c r="F129" i="1"/>
  <c r="G129" i="1"/>
  <c r="A130" i="1"/>
  <c r="F130" i="1"/>
  <c r="G130" i="1"/>
  <c r="A131" i="1"/>
  <c r="F131" i="1"/>
  <c r="G131" i="1"/>
  <c r="A132" i="1"/>
  <c r="F132" i="1"/>
  <c r="G132" i="1"/>
  <c r="A133" i="1"/>
  <c r="F133" i="1"/>
  <c r="G133" i="1"/>
  <c r="F23" i="1" l="1"/>
  <c r="A23" i="1"/>
  <c r="A24" i="1"/>
  <c r="A25" i="1"/>
  <c r="F24" i="1"/>
  <c r="F25" i="1"/>
  <c r="A117" i="1"/>
  <c r="F117" i="1"/>
  <c r="G117" i="1"/>
  <c r="A111" i="1"/>
  <c r="G111" i="1"/>
  <c r="F111" i="1"/>
  <c r="A108" i="1"/>
  <c r="G108" i="1"/>
  <c r="F108" i="1"/>
  <c r="G113" i="1"/>
  <c r="F113" i="1"/>
  <c r="A113" i="1"/>
  <c r="A112" i="1"/>
  <c r="G112" i="1"/>
  <c r="F112" i="1"/>
  <c r="G109" i="1"/>
  <c r="G110" i="1"/>
  <c r="F109" i="1"/>
  <c r="F110" i="1"/>
  <c r="F116" i="1"/>
  <c r="G116" i="1"/>
  <c r="A116" i="1"/>
  <c r="A109" i="1"/>
  <c r="A110" i="1"/>
  <c r="G137" i="1"/>
  <c r="F137" i="1"/>
  <c r="F134" i="1" l="1"/>
  <c r="G134" i="1"/>
  <c r="F114" i="1"/>
  <c r="F106" i="1"/>
  <c r="C106" i="1" l="1"/>
  <c r="C137" i="1"/>
  <c r="C134" i="1"/>
  <c r="C114" i="1"/>
  <c r="G138" i="1"/>
  <c r="D54" i="1" l="1"/>
  <c r="G54" i="1" s="1"/>
  <c r="D55" i="1"/>
  <c r="G55" i="1" s="1"/>
  <c r="D10" i="1"/>
  <c r="G10" i="1" s="1"/>
  <c r="D11" i="1"/>
  <c r="G11" i="1" s="1"/>
  <c r="D12" i="1"/>
  <c r="G12" i="1" s="1"/>
  <c r="D13" i="1"/>
  <c r="G13" i="1" s="1"/>
  <c r="D14" i="1"/>
  <c r="G14" i="1" s="1"/>
  <c r="D45" i="1"/>
  <c r="G45" i="1" s="1"/>
  <c r="D34" i="1"/>
  <c r="G34" i="1" s="1"/>
  <c r="D31" i="1"/>
  <c r="G31" i="1" s="1"/>
  <c r="D20" i="1"/>
  <c r="G20" i="1" s="1"/>
  <c r="D84" i="1"/>
  <c r="G84" i="1" s="1"/>
  <c r="D15" i="1"/>
  <c r="G15" i="1" s="1"/>
  <c r="D67" i="1"/>
  <c r="G67" i="1" s="1"/>
  <c r="D18" i="1"/>
  <c r="G18" i="1" s="1"/>
  <c r="D43" i="1"/>
  <c r="G43" i="1" s="1"/>
  <c r="D42" i="1"/>
  <c r="G42" i="1" s="1"/>
  <c r="D82" i="1"/>
  <c r="G82" i="1" s="1"/>
  <c r="D83" i="1"/>
  <c r="G83" i="1" s="1"/>
  <c r="D79" i="1"/>
  <c r="G79" i="1" s="1"/>
  <c r="D81" i="1"/>
  <c r="G81" i="1" s="1"/>
  <c r="D80" i="1"/>
  <c r="G80" i="1" s="1"/>
  <c r="D17" i="1"/>
  <c r="G17" i="1" s="1"/>
  <c r="D16" i="1"/>
  <c r="G16" i="1" s="1"/>
  <c r="D85" i="1"/>
  <c r="G85" i="1" s="1"/>
  <c r="D19" i="1"/>
  <c r="G19" i="1" s="1"/>
  <c r="D35" i="1"/>
  <c r="G35" i="1" s="1"/>
  <c r="D40" i="1"/>
  <c r="G40" i="1" s="1"/>
  <c r="D47" i="1"/>
  <c r="G47" i="1" s="1"/>
  <c r="D29" i="1"/>
  <c r="G29" i="1" s="1"/>
  <c r="D36" i="1"/>
  <c r="G36" i="1" s="1"/>
  <c r="D41" i="1"/>
  <c r="G41" i="1" s="1"/>
  <c r="D30" i="1"/>
  <c r="G30" i="1" s="1"/>
  <c r="D37" i="1"/>
  <c r="G37" i="1" s="1"/>
  <c r="D32" i="1"/>
  <c r="G32" i="1" s="1"/>
  <c r="D38" i="1"/>
  <c r="G38" i="1" s="1"/>
  <c r="D44" i="1"/>
  <c r="G44" i="1" s="1"/>
  <c r="D33" i="1"/>
  <c r="G33" i="1" s="1"/>
  <c r="D39" i="1"/>
  <c r="G39" i="1" s="1"/>
  <c r="D46" i="1"/>
  <c r="G46" i="1" s="1"/>
  <c r="D48" i="1"/>
  <c r="G48" i="1" s="1"/>
  <c r="D53" i="1"/>
  <c r="G53" i="1" s="1"/>
  <c r="D97" i="1"/>
  <c r="G97" i="1" s="1"/>
  <c r="D96" i="1"/>
  <c r="G96" i="1" s="1"/>
  <c r="D95" i="1"/>
  <c r="G95" i="1" s="1"/>
  <c r="D94" i="1"/>
  <c r="G94" i="1" s="1"/>
  <c r="D93" i="1"/>
  <c r="G93" i="1" s="1"/>
  <c r="D92" i="1"/>
  <c r="G92" i="1" s="1"/>
  <c r="D22" i="1"/>
  <c r="G22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G69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G59" i="1"/>
  <c r="G58" i="1"/>
  <c r="G57" i="1"/>
  <c r="G56" i="1"/>
  <c r="D52" i="1"/>
  <c r="G52" i="1" s="1"/>
  <c r="D51" i="1"/>
  <c r="G51" i="1" s="1"/>
  <c r="D50" i="1"/>
  <c r="G50" i="1" s="1"/>
  <c r="D49" i="1"/>
  <c r="G49" i="1" s="1"/>
  <c r="D28" i="1"/>
  <c r="G28" i="1" s="1"/>
  <c r="D27" i="1"/>
  <c r="G27" i="1" s="1"/>
  <c r="D26" i="1"/>
  <c r="G26" i="1" s="1"/>
  <c r="D21" i="1"/>
  <c r="G21" i="1" s="1"/>
  <c r="D99" i="1"/>
  <c r="G99" i="1" s="1"/>
  <c r="D105" i="1"/>
  <c r="G105" i="1" s="1"/>
  <c r="D24" i="1"/>
  <c r="G24" i="1" s="1"/>
  <c r="D103" i="1"/>
  <c r="G103" i="1" s="1"/>
  <c r="D87" i="1"/>
  <c r="G87" i="1" s="1"/>
  <c r="D88" i="1"/>
  <c r="G88" i="1" s="1"/>
  <c r="D89" i="1"/>
  <c r="G89" i="1" s="1"/>
  <c r="D23" i="1"/>
  <c r="G23" i="1" s="1"/>
  <c r="D98" i="1"/>
  <c r="G98" i="1" s="1"/>
  <c r="D100" i="1"/>
  <c r="G100" i="1" s="1"/>
  <c r="D102" i="1"/>
  <c r="G102" i="1" s="1"/>
  <c r="D86" i="1"/>
  <c r="G86" i="1" s="1"/>
  <c r="D90" i="1"/>
  <c r="G90" i="1" s="1"/>
  <c r="D91" i="1"/>
  <c r="G91" i="1" s="1"/>
  <c r="D25" i="1"/>
  <c r="G25" i="1" s="1"/>
  <c r="D101" i="1"/>
  <c r="G101" i="1" s="1"/>
  <c r="D104" i="1"/>
  <c r="G104" i="1" s="1"/>
  <c r="G114" i="1"/>
  <c r="G106" i="1" l="1"/>
  <c r="G139" i="1" s="1"/>
  <c r="G140" i="1" s="1"/>
</calcChain>
</file>

<file path=xl/sharedStrings.xml><?xml version="1.0" encoding="utf-8"?>
<sst xmlns="http://schemas.openxmlformats.org/spreadsheetml/2006/main" count="169" uniqueCount="29">
  <si>
    <t>Нажмите на название игры для того, чтобы перейти к описанию.</t>
  </si>
  <si>
    <t>РМРЦ*</t>
  </si>
  <si>
    <t>Кол-во</t>
  </si>
  <si>
    <t>Сумма, базовая цена</t>
  </si>
  <si>
    <t>Сумма</t>
  </si>
  <si>
    <t>СУММА</t>
  </si>
  <si>
    <t>Игры Crowd Games (Категории 1)</t>
  </si>
  <si>
    <t>Цена со скидкой</t>
  </si>
  <si>
    <t>Сумма заказа</t>
  </si>
  <si>
    <t>Процент скидки</t>
  </si>
  <si>
    <t>ВАША СКИДКА</t>
  </si>
  <si>
    <t>Игра от наших партнеров</t>
  </si>
  <si>
    <t>СУММА БАЗОВАЯ</t>
  </si>
  <si>
    <t>ОБЩАЯ СУММА ЗАКАЗА</t>
  </si>
  <si>
    <t>ВАШ ДОХОД</t>
  </si>
  <si>
    <t>* РМРЦ - рекомендуемая минимальная розничная цена, ниже которой мы просим не продавать.</t>
  </si>
  <si>
    <t>Fix-price</t>
  </si>
  <si>
    <t>Остаток на складе</t>
  </si>
  <si>
    <t>Много</t>
  </si>
  <si>
    <t>&lt; 100 шт.</t>
  </si>
  <si>
    <t>&lt; 50 шт.</t>
  </si>
  <si>
    <t>Система скидок          Crowd Games</t>
  </si>
  <si>
    <t>&lt; 200 шт.</t>
  </si>
  <si>
    <t>Игры Crowd Games (Fix-price)</t>
  </si>
  <si>
    <t>Размер предоставляемой скидки зависит от общей суммы заказа, за исключением игр из категории Fix-price.</t>
  </si>
  <si>
    <t>Аксессуары Crowd Games</t>
  </si>
  <si>
    <t>Нет в продаже</t>
  </si>
  <si>
    <t xml:space="preserve">Внимание! Минимальная сумма заказа 20 000 рублей, с учетом скидки. Скидка считается автоматически, и отображается в поле "ВАША СКИДКА". Вам достаточно лишь ввести количество экземпляров. Поле "ВАШ ДОХОД" - это разница между стоимостью игр, которые вы заказываете по РМРЦ и фактической суммой к оплате.  </t>
  </si>
  <si>
    <t>ПРАЙС ЛИСТ CROWD GAMES с 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</si>
</sst>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₽&quot;"/>
    <numFmt numFmtId="165" formatCode="0.0%"/>
  </numFmts>
  <fonts count="22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b/>
      <u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name val="Calibri"/>
      <family val="2"/>
      <charset val="204"/>
    </font>
    <font>
      <sz val="11"/>
      <color rgb="FFFF5050"/>
      <name val="Arial"/>
      <family val="2"/>
      <charset val="204"/>
    </font>
    <font>
      <sz val="12"/>
      <color theme="1"/>
      <name val="Aptos Narrow"/>
    </font>
    <font>
      <sz val="12"/>
      <color theme="1"/>
      <name val="Arial"/>
      <family val="2"/>
      <charset val="204"/>
    </font>
    <font>
      <sz val="10"/>
      <color theme="10"/>
      <name val="Arial"/>
      <family val="2"/>
      <charset val="204"/>
    </font>
    <font>
      <b/>
      <sz val="11"/>
      <color theme="5" tint="-0.249977111117893"/>
      <name val="Arial"/>
      <family val="2"/>
      <charset val="204"/>
    </font>
    <font>
      <b/>
      <sz val="10"/>
      <color theme="5" tint="-0.249977111117893"/>
      <name val="Arial"/>
      <family val="2"/>
      <charset val="204"/>
    </font>
    <font>
      <sz val="11"/>
      <color theme="10"/>
      <name val="Arial"/>
      <family val="2"/>
      <charset val="204"/>
    </font>
    <font>
      <b/>
      <sz val="12"/>
      <color theme="10"/>
      <name val="Arial"/>
      <family val="2"/>
      <charset val="204"/>
    </font>
    <font>
      <sz val="12"/>
      <color theme="1"/>
      <name val="Aptos Narrow"/>
      <charset val="204"/>
    </font>
    <font>
      <sz val="11"/>
      <color theme="1"/>
      <name val="Aptos Narrow"/>
      <charset val="204"/>
    </font>
  </fonts>
  <fills count="12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theme="7" tint="0.59999389629810485"/>
        <bgColor rgb="FFD9EAD3"/>
      </patternFill>
    </fill>
    <fill>
      <patternFill patternType="solid">
        <fgColor theme="9" tint="0.79998168889431442"/>
        <bgColor rgb="FFD9EAD3"/>
      </patternFill>
    </fill>
    <fill>
      <patternFill patternType="solid">
        <fgColor theme="9"/>
        <bgColor rgb="FF6AA84F"/>
      </patternFill>
    </fill>
    <fill>
      <patternFill patternType="solid">
        <fgColor theme="9"/>
        <bgColor rgb="FFD9EAD3"/>
      </patternFill>
    </fill>
    <fill>
      <patternFill patternType="solid">
        <fgColor rgb="FFE2EFD9"/>
        <bgColor rgb="FFE2EFD9"/>
      </patternFill>
    </fill>
    <fill>
      <patternFill patternType="solid">
        <fgColor theme="7" tint="0.79998168889431442"/>
        <bgColor rgb="FFD9EAD3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6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2" fillId="9" borderId="1" xfId="1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2" fillId="7" borderId="1" xfId="1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 applyProtection="1">
      <alignment horizontal="center" vertical="top"/>
      <protection locked="0"/>
    </xf>
    <xf numFmtId="0" fontId="2" fillId="6" borderId="1" xfId="0" applyFont="1" applyFill="1" applyBorder="1" applyAlignment="1">
      <alignment horizontal="center" vertical="top"/>
    </xf>
    <xf numFmtId="0" fontId="2" fillId="7" borderId="13" xfId="1" applyFont="1" applyFill="1" applyBorder="1" applyAlignment="1">
      <alignment vertical="top" wrapText="1"/>
    </xf>
    <xf numFmtId="0" fontId="7" fillId="2" borderId="14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7" borderId="14" xfId="0" applyFont="1" applyFill="1" applyBorder="1" applyAlignment="1">
      <alignment horizontal="center" vertical="top"/>
    </xf>
    <xf numFmtId="0" fontId="4" fillId="7" borderId="9" xfId="1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10" borderId="9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/>
    <xf numFmtId="0" fontId="4" fillId="8" borderId="13" xfId="0" applyFont="1" applyFill="1" applyBorder="1" applyAlignment="1">
      <alignment vertical="top" wrapText="1"/>
    </xf>
    <xf numFmtId="165" fontId="10" fillId="8" borderId="1" xfId="0" applyNumberFormat="1" applyFont="1" applyFill="1" applyBorder="1" applyAlignment="1">
      <alignment horizontal="center" vertical="top"/>
    </xf>
    <xf numFmtId="165" fontId="4" fillId="2" borderId="1" xfId="0" applyNumberFormat="1" applyFont="1" applyFill="1" applyBorder="1" applyAlignment="1">
      <alignment horizontal="center" vertical="top" wrapText="1"/>
    </xf>
    <xf numFmtId="0" fontId="2" fillId="8" borderId="13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10" borderId="2" xfId="0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horizontal="center" vertical="top"/>
    </xf>
    <xf numFmtId="0" fontId="11" fillId="0" borderId="0" xfId="0" applyFont="1"/>
    <xf numFmtId="0" fontId="4" fillId="7" borderId="2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vertical="top"/>
    </xf>
    <xf numFmtId="165" fontId="10" fillId="2" borderId="1" xfId="0" applyNumberFormat="1" applyFont="1" applyFill="1" applyBorder="1" applyAlignment="1">
      <alignment horizontal="center" vertical="top"/>
    </xf>
    <xf numFmtId="0" fontId="2" fillId="2" borderId="13" xfId="0" applyFont="1" applyFill="1" applyBorder="1" applyAlignment="1">
      <alignment vertical="top" wrapText="1"/>
    </xf>
    <xf numFmtId="0" fontId="2" fillId="7" borderId="13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/>
    </xf>
    <xf numFmtId="0" fontId="10" fillId="5" borderId="14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10" fillId="5" borderId="17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164" fontId="2" fillId="7" borderId="10" xfId="0" applyNumberFormat="1" applyFont="1" applyFill="1" applyBorder="1" applyAlignment="1">
      <alignment horizontal="center" vertical="top"/>
    </xf>
    <xf numFmtId="165" fontId="2" fillId="7" borderId="12" xfId="0" applyNumberFormat="1" applyFont="1" applyFill="1" applyBorder="1" applyAlignment="1">
      <alignment horizontal="center" vertical="top"/>
    </xf>
    <xf numFmtId="164" fontId="2" fillId="7" borderId="13" xfId="0" applyNumberFormat="1" applyFont="1" applyFill="1" applyBorder="1" applyAlignment="1">
      <alignment horizontal="center" vertical="top"/>
    </xf>
    <xf numFmtId="165" fontId="2" fillId="7" borderId="14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12" fillId="3" borderId="1" xfId="0" applyFont="1" applyFill="1" applyBorder="1" applyAlignment="1" applyProtection="1">
      <alignment horizontal="center" vertical="top"/>
      <protection locked="0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5" fillId="7" borderId="13" xfId="1" applyFont="1" applyFill="1" applyBorder="1" applyAlignment="1">
      <alignment vertical="top" wrapText="1"/>
    </xf>
    <xf numFmtId="0" fontId="15" fillId="7" borderId="13" xfId="1" applyFont="1" applyFill="1" applyBorder="1" applyAlignment="1">
      <alignment vertical="top" wrapText="1"/>
    </xf>
    <xf numFmtId="0" fontId="14" fillId="0" borderId="0" xfId="0" applyFont="1" applyAlignment="1">
      <alignment wrapText="1"/>
    </xf>
    <xf numFmtId="0" fontId="17" fillId="7" borderId="13" xfId="1" applyFont="1" applyFill="1" applyBorder="1" applyAlignment="1">
      <alignment vertical="top" wrapText="1"/>
    </xf>
    <xf numFmtId="0" fontId="16" fillId="7" borderId="1" xfId="1" applyFont="1" applyFill="1" applyBorder="1" applyAlignment="1">
      <alignment horizontal="center" vertical="top" wrapText="1"/>
    </xf>
    <xf numFmtId="0" fontId="16" fillId="7" borderId="1" xfId="0" applyFont="1" applyFill="1" applyBorder="1" applyAlignment="1">
      <alignment horizontal="center" vertical="top"/>
    </xf>
    <xf numFmtId="0" fontId="16" fillId="7" borderId="1" xfId="0" applyFont="1" applyFill="1" applyBorder="1" applyAlignment="1">
      <alignment horizontal="center" vertical="top" wrapText="1"/>
    </xf>
    <xf numFmtId="0" fontId="16" fillId="7" borderId="1" xfId="0" applyFont="1" applyFill="1" applyBorder="1" applyAlignment="1" applyProtection="1">
      <alignment horizontal="center" vertical="top"/>
      <protection locked="0"/>
    </xf>
    <xf numFmtId="0" fontId="16" fillId="7" borderId="14" xfId="0" applyFont="1" applyFill="1" applyBorder="1" applyAlignment="1">
      <alignment horizontal="center" vertical="top"/>
    </xf>
    <xf numFmtId="0" fontId="16" fillId="3" borderId="1" xfId="0" applyFont="1" applyFill="1" applyBorder="1" applyAlignment="1" applyProtection="1">
      <alignment horizontal="center" vertical="top"/>
      <protection locked="0"/>
    </xf>
    <xf numFmtId="0" fontId="16" fillId="6" borderId="1" xfId="0" applyFont="1" applyFill="1" applyBorder="1" applyAlignment="1">
      <alignment horizontal="center" vertical="top"/>
    </xf>
    <xf numFmtId="164" fontId="2" fillId="7" borderId="22" xfId="0" applyNumberFormat="1" applyFont="1" applyFill="1" applyBorder="1" applyAlignment="1">
      <alignment horizontal="center" vertical="top"/>
    </xf>
    <xf numFmtId="165" fontId="2" fillId="7" borderId="23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vertical="top" wrapText="1"/>
    </xf>
    <xf numFmtId="0" fontId="18" fillId="7" borderId="13" xfId="1" applyFont="1" applyFill="1" applyBorder="1" applyAlignment="1">
      <alignment vertical="top" wrapText="1"/>
    </xf>
    <xf numFmtId="0" fontId="13" fillId="0" borderId="0" xfId="0" applyFont="1" applyAlignment="1">
      <alignment wrapText="1"/>
    </xf>
    <xf numFmtId="0" fontId="10" fillId="11" borderId="1" xfId="1" applyFont="1" applyFill="1" applyBorder="1" applyAlignment="1">
      <alignment horizontal="center" vertical="top" wrapText="1"/>
    </xf>
    <xf numFmtId="0" fontId="10" fillId="11" borderId="1" xfId="0" applyFont="1" applyFill="1" applyBorder="1" applyAlignment="1">
      <alignment horizontal="center" vertical="top"/>
    </xf>
    <xf numFmtId="0" fontId="10" fillId="11" borderId="1" xfId="0" applyFont="1" applyFill="1" applyBorder="1" applyAlignment="1">
      <alignment horizontal="center" vertical="top" wrapText="1"/>
    </xf>
    <xf numFmtId="0" fontId="10" fillId="11" borderId="1" xfId="0" applyFont="1" applyFill="1" applyBorder="1" applyAlignment="1" applyProtection="1">
      <alignment horizontal="center" vertical="top"/>
      <protection locked="0"/>
    </xf>
    <xf numFmtId="0" fontId="10" fillId="11" borderId="14" xfId="0" applyFont="1" applyFill="1" applyBorder="1" applyAlignment="1">
      <alignment horizontal="center" vertical="top"/>
    </xf>
    <xf numFmtId="0" fontId="19" fillId="11" borderId="13" xfId="1" applyFont="1" applyFill="1" applyBorder="1" applyAlignment="1">
      <alignment vertical="top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4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4" fillId="2" borderId="13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4" fillId="5" borderId="13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4" fontId="2" fillId="0" borderId="3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wrapText="1"/>
    </xf>
    <xf numFmtId="0" fontId="4" fillId="4" borderId="20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4" fillId="5" borderId="15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5" fillId="0" borderId="0" xfId="0" applyFont="1" applyAlignment="1">
      <alignment horizontal="left" vertical="top"/>
    </xf>
  </cellXfs>
  <cellStyles count="2">
    <cellStyle name="Гиперссылка" xfId="1" builtinId="8"/>
    <cellStyle name="Обычный" xfId="0" builtinId="0"/>
  </cellStyles>
  <dxfs count="693"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tabSelected="1" view="pageBreakPreview" zoomScaleNormal="100" zoomScaleSheetLayoutView="100" workbookViewId="0">
      <selection activeCell="F68" sqref="F68"/>
    </sheetView>
  </sheetViews>
  <sheetFormatPr defaultColWidth="9.140625" defaultRowHeight="15"/>
  <cols>
    <col min="1" max="1" width="37.7109375" style="49" customWidth="1"/>
    <col min="2" max="2" width="10.7109375" style="25" customWidth="1"/>
    <col min="3" max="3" width="10.7109375" style="20" customWidth="1"/>
    <col min="4" max="4" width="10.7109375" style="25" customWidth="1"/>
    <col min="5" max="5" width="10.7109375" style="20" customWidth="1"/>
    <col min="6" max="6" width="7" style="20" customWidth="1"/>
    <col min="7" max="7" width="10.7109375" style="20" customWidth="1"/>
    <col min="8" max="8" width="4.85546875" style="3" customWidth="1"/>
    <col min="9" max="10" width="13.28515625" style="3" customWidth="1"/>
    <col min="11" max="16384" width="9.140625" style="3"/>
  </cols>
  <sheetData>
    <row r="1" spans="1:10">
      <c r="A1" s="90" t="s">
        <v>28</v>
      </c>
      <c r="B1" s="90"/>
      <c r="C1" s="91"/>
      <c r="D1" s="91"/>
      <c r="E1" s="91"/>
      <c r="F1" s="91"/>
      <c r="G1" s="91"/>
      <c r="H1" s="91"/>
    </row>
    <row r="2" spans="1:10" ht="15.75" thickBot="1">
      <c r="A2" s="92" t="s">
        <v>0</v>
      </c>
      <c r="B2" s="92"/>
      <c r="C2" s="93"/>
      <c r="D2" s="93"/>
      <c r="E2" s="93"/>
      <c r="F2" s="93"/>
      <c r="G2" s="93"/>
    </row>
    <row r="3" spans="1:10" hidden="1">
      <c r="A3" s="50"/>
      <c r="B3" s="19"/>
      <c r="D3" s="20"/>
      <c r="I3" s="21" t="s">
        <v>18</v>
      </c>
    </row>
    <row r="4" spans="1:10" ht="30" hidden="1">
      <c r="A4" s="50"/>
      <c r="B4" s="19"/>
      <c r="D4" s="20"/>
      <c r="I4" s="21" t="s">
        <v>26</v>
      </c>
    </row>
    <row r="5" spans="1:10" hidden="1">
      <c r="A5" s="50"/>
      <c r="B5" s="19"/>
      <c r="D5" s="20"/>
      <c r="I5" s="21" t="s">
        <v>22</v>
      </c>
    </row>
    <row r="6" spans="1:10" hidden="1">
      <c r="A6" s="50"/>
      <c r="B6" s="19"/>
      <c r="D6" s="20"/>
      <c r="I6" s="21" t="s">
        <v>19</v>
      </c>
    </row>
    <row r="7" spans="1:10" hidden="1">
      <c r="A7" s="50"/>
      <c r="B7" s="19"/>
      <c r="D7" s="20"/>
      <c r="I7" s="21" t="s">
        <v>20</v>
      </c>
    </row>
    <row r="8" spans="1:10" ht="15.75" hidden="1" thickBot="1">
      <c r="A8" s="50"/>
      <c r="B8" s="19"/>
      <c r="D8" s="20"/>
      <c r="I8" s="21"/>
    </row>
    <row r="9" spans="1:10" ht="30" customHeight="1">
      <c r="A9" s="22" t="s">
        <v>6</v>
      </c>
      <c r="B9" s="23" t="s">
        <v>17</v>
      </c>
      <c r="C9" s="14" t="s">
        <v>1</v>
      </c>
      <c r="D9" s="23" t="s">
        <v>7</v>
      </c>
      <c r="E9" s="14" t="s">
        <v>2</v>
      </c>
      <c r="F9" s="14" t="s">
        <v>3</v>
      </c>
      <c r="G9" s="15" t="s">
        <v>4</v>
      </c>
      <c r="I9" s="21"/>
    </row>
    <row r="10" spans="1:10" ht="30" customHeight="1">
      <c r="A10" s="87" t="str">
        <f>HYPERLINK("https://www.crowdgames.ru/collection/morskoy-patrul", "	Морской патруль. Корабли и берега (Дополнение)")</f>
        <v xml:space="preserve">	Морской патруль. Корабли и берега (Дополнение)</v>
      </c>
      <c r="B10" s="82" t="s">
        <v>18</v>
      </c>
      <c r="C10" s="83">
        <v>1250</v>
      </c>
      <c r="D10" s="84">
        <f t="shared" ref="D10:D53" si="0">C10*(1-$C$106)</f>
        <v>1250</v>
      </c>
      <c r="E10" s="85"/>
      <c r="F10" s="83">
        <f t="shared" ref="F10:F11" si="1">C10*E10</f>
        <v>0</v>
      </c>
      <c r="G10" s="86">
        <f t="shared" ref="G10:G11" si="2">E10*D10</f>
        <v>0</v>
      </c>
      <c r="I10" s="81"/>
      <c r="J10" s="68"/>
    </row>
    <row r="11" spans="1:10" ht="30" customHeight="1">
      <c r="A11" s="87" t="str">
        <f>HYPERLINK("https://www.crowdgames.ru/collection/morskoy-patrul", "Морской патруль")</f>
        <v>Морской патруль</v>
      </c>
      <c r="B11" s="82" t="s">
        <v>18</v>
      </c>
      <c r="C11" s="83">
        <v>1990</v>
      </c>
      <c r="D11" s="84">
        <f t="shared" si="0"/>
        <v>1990</v>
      </c>
      <c r="E11" s="85"/>
      <c r="F11" s="83">
        <f t="shared" si="1"/>
        <v>0</v>
      </c>
      <c r="G11" s="86">
        <f t="shared" si="2"/>
        <v>0</v>
      </c>
      <c r="I11" s="81"/>
      <c r="J11" s="68"/>
    </row>
    <row r="12" spans="1:10" ht="30" customHeight="1">
      <c r="A12" s="87" t="str">
        <f>HYPERLINK("https://www.crowdgames.ru/collection/ekspeditsiya-morskie-glubiny", "Штуки в круге (Новинка)")</f>
        <v>Штуки в круге (Новинка)</v>
      </c>
      <c r="B12" s="82" t="s">
        <v>18</v>
      </c>
      <c r="C12" s="83">
        <v>1790</v>
      </c>
      <c r="D12" s="84">
        <f t="shared" si="0"/>
        <v>1790</v>
      </c>
      <c r="E12" s="85"/>
      <c r="F12" s="83">
        <f t="shared" ref="F12:F14" si="3">C12*E12</f>
        <v>0</v>
      </c>
      <c r="G12" s="86">
        <f t="shared" ref="G12:G14" si="4">E12*D12</f>
        <v>0</v>
      </c>
      <c r="I12" s="81"/>
      <c r="J12" s="68"/>
    </row>
    <row r="13" spans="1:10" ht="30" customHeight="1">
      <c r="A13" s="87" t="str">
        <f>HYPERLINK("https://www.crowdgames.ru/collection/efir-kamni", "Парус (Новинка)")</f>
        <v>Парус (Новинка)</v>
      </c>
      <c r="B13" s="82" t="s">
        <v>18</v>
      </c>
      <c r="C13" s="83">
        <v>1790</v>
      </c>
      <c r="D13" s="84">
        <f t="shared" si="0"/>
        <v>1790</v>
      </c>
      <c r="E13" s="85"/>
      <c r="F13" s="83">
        <f t="shared" si="3"/>
        <v>0</v>
      </c>
      <c r="G13" s="86">
        <f t="shared" si="4"/>
        <v>0</v>
      </c>
      <c r="I13" s="81"/>
      <c r="J13" s="68"/>
    </row>
    <row r="14" spans="1:10" ht="30" customHeight="1">
      <c r="A14" s="87" t="str">
        <f>HYPERLINK("https://www.crowdgames.ru/collection/feod", "Феод. Обновлённое издание (Новинка)")</f>
        <v>Феод. Обновлённое издание (Новинка)</v>
      </c>
      <c r="B14" s="82" t="s">
        <v>18</v>
      </c>
      <c r="C14" s="83">
        <v>8990</v>
      </c>
      <c r="D14" s="84">
        <f t="shared" si="0"/>
        <v>8990</v>
      </c>
      <c r="E14" s="85"/>
      <c r="F14" s="83">
        <f t="shared" si="3"/>
        <v>0</v>
      </c>
      <c r="G14" s="86">
        <f t="shared" si="4"/>
        <v>0</v>
      </c>
      <c r="I14" s="81"/>
    </row>
    <row r="15" spans="1:10" ht="30" customHeight="1">
      <c r="A15" s="87" t="str">
        <f>HYPERLINK("https://www.crowdgames.ru/collection/galakticheskiy-kruiz", "Галактический круиз (Новинка)")</f>
        <v>Галактический круиз (Новинка)</v>
      </c>
      <c r="B15" s="82" t="s">
        <v>18</v>
      </c>
      <c r="C15" s="83">
        <v>10490</v>
      </c>
      <c r="D15" s="84">
        <f t="shared" si="0"/>
        <v>10490</v>
      </c>
      <c r="E15" s="85"/>
      <c r="F15" s="83">
        <f t="shared" ref="F15" si="5">C15*E15</f>
        <v>0</v>
      </c>
      <c r="G15" s="86">
        <f t="shared" ref="G15" si="6">E15*D15</f>
        <v>0</v>
      </c>
      <c r="I15" s="64"/>
      <c r="J15" s="60"/>
    </row>
    <row r="16" spans="1:10" ht="30" customHeight="1">
      <c r="A16" s="87" t="str">
        <f>HYPERLINK("https://www.crowdgames.ru/collection/galakticheskiy-kruiz","Галактический круиз. Прогресс (Новинка)")</f>
        <v>Галактический круиз. Прогресс (Новинка)</v>
      </c>
      <c r="B16" s="82" t="s">
        <v>18</v>
      </c>
      <c r="C16" s="83">
        <v>1990</v>
      </c>
      <c r="D16" s="84">
        <f t="shared" si="0"/>
        <v>1990</v>
      </c>
      <c r="E16" s="85"/>
      <c r="F16" s="83">
        <f t="shared" ref="F16:F17" si="7">C16*E16</f>
        <v>0</v>
      </c>
      <c r="G16" s="86">
        <f t="shared" ref="G16:G17" si="8">E16*D16</f>
        <v>0</v>
      </c>
      <c r="I16" s="64"/>
      <c r="J16" s="60"/>
    </row>
    <row r="17" spans="1:10" ht="30" customHeight="1">
      <c r="A17" s="87" t="str">
        <f>HYPERLINK("https://www.crowdgames.ru/collection/sladkozemie", "Галактический круиз. Комфорт (Новинка)")</f>
        <v>Галактический круиз. Комфорт (Новинка)</v>
      </c>
      <c r="B17" s="82" t="s">
        <v>18</v>
      </c>
      <c r="C17" s="83">
        <v>1990</v>
      </c>
      <c r="D17" s="84">
        <f t="shared" si="0"/>
        <v>1990</v>
      </c>
      <c r="E17" s="85"/>
      <c r="F17" s="83">
        <f t="shared" si="7"/>
        <v>0</v>
      </c>
      <c r="G17" s="86">
        <f t="shared" si="8"/>
        <v>0</v>
      </c>
      <c r="I17" s="65"/>
      <c r="J17" s="60"/>
    </row>
    <row r="18" spans="1:10" ht="30" customHeight="1">
      <c r="A18" s="87" t="str">
        <f>HYPERLINK("https://www.crowdgames.ru/collection/za-nortvud","«За Нортвуд!» (Новинка)")</f>
        <v>«За Нортвуд!» (Новинка)</v>
      </c>
      <c r="B18" s="82" t="s">
        <v>18</v>
      </c>
      <c r="C18" s="83">
        <v>990</v>
      </c>
      <c r="D18" s="84">
        <f t="shared" si="0"/>
        <v>990</v>
      </c>
      <c r="E18" s="85"/>
      <c r="F18" s="83">
        <f t="shared" ref="F18" si="9">C18*E18</f>
        <v>0</v>
      </c>
      <c r="G18" s="86">
        <f t="shared" ref="G18" si="10">E18*D18</f>
        <v>0</v>
      </c>
      <c r="I18" s="59"/>
      <c r="J18" s="60"/>
    </row>
    <row r="19" spans="1:10" ht="30" customHeight="1">
      <c r="A19" s="66" t="str">
        <f>HYPERLINK("https://www.crowdgames.ru/collection/anunnaki-rassvet-bogov", "Ануннаки. Рассвет богов")</f>
        <v>Ануннаки. Рассвет богов</v>
      </c>
      <c r="B19" s="5" t="s">
        <v>18</v>
      </c>
      <c r="C19" s="6">
        <v>8990</v>
      </c>
      <c r="D19" s="17">
        <f t="shared" si="0"/>
        <v>8990</v>
      </c>
      <c r="E19" s="18"/>
      <c r="F19" s="8">
        <f t="shared" ref="F19:F20" si="11">C19*E19</f>
        <v>0</v>
      </c>
      <c r="G19" s="12">
        <f t="shared" ref="G19:G20" si="12">E19*D19</f>
        <v>0</v>
      </c>
      <c r="I19" s="59"/>
      <c r="J19" s="60"/>
    </row>
    <row r="20" spans="1:10" ht="30" customHeight="1">
      <c r="A20" s="67" t="str">
        <f>HYPERLINK("https://www.crowdgames.ru/collection/shop/product/putevoditel", "Аркхэм. Путеводитель")</f>
        <v>Аркхэм. Путеводитель</v>
      </c>
      <c r="B20" s="5" t="s">
        <v>18</v>
      </c>
      <c r="C20" s="6">
        <v>990</v>
      </c>
      <c r="D20" s="17">
        <f t="shared" si="0"/>
        <v>990</v>
      </c>
      <c r="E20" s="18"/>
      <c r="F20" s="8">
        <f t="shared" si="11"/>
        <v>0</v>
      </c>
      <c r="G20" s="12">
        <f t="shared" si="12"/>
        <v>0</v>
      </c>
      <c r="I20" s="68"/>
    </row>
    <row r="21" spans="1:10" ht="30" customHeight="1" thickBot="1">
      <c r="A21" s="67" t="str">
        <f>HYPERLINK("https://www.crowdgames.ru/collection/shop/product/ahoy", "Ахой")</f>
        <v>Ахой</v>
      </c>
      <c r="B21" s="5" t="s">
        <v>18</v>
      </c>
      <c r="C21" s="6">
        <v>3990</v>
      </c>
      <c r="D21" s="17">
        <f t="shared" si="0"/>
        <v>3990</v>
      </c>
      <c r="E21" s="18"/>
      <c r="F21" s="8">
        <f t="shared" ref="F21:F25" si="13">C21*E21</f>
        <v>0</v>
      </c>
      <c r="G21" s="12">
        <f t="shared" ref="G21:G25" si="14">E21*D21</f>
        <v>0</v>
      </c>
      <c r="I21" s="61"/>
      <c r="J21" s="61"/>
    </row>
    <row r="22" spans="1:10" ht="30" customHeight="1" thickBot="1">
      <c r="A22" s="67" t="str">
        <f>HYPERLINK("https://www.crowdgames.ru/collection/dom-fadu", "Дом фаду")</f>
        <v>Дом фаду</v>
      </c>
      <c r="B22" s="5" t="s">
        <v>18</v>
      </c>
      <c r="C22" s="6">
        <v>6990</v>
      </c>
      <c r="D22" s="17">
        <f t="shared" si="0"/>
        <v>6990</v>
      </c>
      <c r="E22" s="18"/>
      <c r="F22" s="8">
        <f t="shared" si="13"/>
        <v>0</v>
      </c>
      <c r="G22" s="12">
        <f t="shared" si="14"/>
        <v>0</v>
      </c>
      <c r="I22" s="106" t="s">
        <v>21</v>
      </c>
      <c r="J22" s="107"/>
    </row>
    <row r="23" spans="1:10" ht="30" customHeight="1">
      <c r="A23" s="66" t="str">
        <f>HYPERLINK("https://www.crowdgames.ru/collection/dzhon-kompani-vtoroe-izdanie", "Джон Компани. Второе издание")</f>
        <v>Джон Компани. Второе издание</v>
      </c>
      <c r="B23" s="5" t="s">
        <v>18</v>
      </c>
      <c r="C23" s="6">
        <v>8990</v>
      </c>
      <c r="D23" s="17">
        <f t="shared" si="0"/>
        <v>8990</v>
      </c>
      <c r="E23" s="18"/>
      <c r="F23" s="8">
        <f t="shared" si="13"/>
        <v>0</v>
      </c>
      <c r="G23" s="12">
        <f t="shared" si="14"/>
        <v>0</v>
      </c>
      <c r="I23" s="108" t="s">
        <v>24</v>
      </c>
      <c r="J23" s="109"/>
    </row>
    <row r="24" spans="1:10" ht="30" customHeight="1">
      <c r="A24" s="66" t="str">
        <f>HYPERLINK("https://www.crowdgames.ru/collection/grand-otel-avstriya", "Гранд-отель «Австрия». Второе издание
")</f>
        <v xml:space="preserve">Гранд-отель «Австрия». Второе издание
</v>
      </c>
      <c r="B24" s="5" t="s">
        <v>18</v>
      </c>
      <c r="C24" s="6">
        <v>5750</v>
      </c>
      <c r="D24" s="17">
        <f t="shared" si="0"/>
        <v>5750</v>
      </c>
      <c r="E24" s="18"/>
      <c r="F24" s="8">
        <f t="shared" si="13"/>
        <v>0</v>
      </c>
      <c r="G24" s="12">
        <f t="shared" si="14"/>
        <v>0</v>
      </c>
      <c r="I24" s="110"/>
      <c r="J24" s="111"/>
    </row>
    <row r="25" spans="1:10" ht="30" customHeight="1" thickBot="1">
      <c r="A25" s="66" t="str">
        <f>HYPERLINK("https://www.crowdgames.ru/collection/grand-otel-avstriya-stantsuem-vals", "Гранд-отель «Австрия». Станцуем вальс!
 (Дополнение)")</f>
        <v>Гранд-отель «Австрия». Станцуем вальс!
 (Дополнение)</v>
      </c>
      <c r="B25" s="5" t="s">
        <v>18</v>
      </c>
      <c r="C25" s="6">
        <v>3890</v>
      </c>
      <c r="D25" s="17">
        <f t="shared" si="0"/>
        <v>3890</v>
      </c>
      <c r="E25" s="18"/>
      <c r="F25" s="8">
        <f t="shared" si="13"/>
        <v>0</v>
      </c>
      <c r="G25" s="12">
        <f t="shared" si="14"/>
        <v>0</v>
      </c>
      <c r="I25" s="110"/>
      <c r="J25" s="111"/>
    </row>
    <row r="26" spans="1:10" ht="30" customHeight="1" thickBot="1">
      <c r="A26" s="66" t="str">
        <f>HYPERLINK("https://www.crowdgames.ru/collection/gorod-motorov", "Город моторов")</f>
        <v>Город моторов</v>
      </c>
      <c r="B26" s="5" t="s">
        <v>18</v>
      </c>
      <c r="C26" s="6">
        <v>1990</v>
      </c>
      <c r="D26" s="17">
        <f t="shared" si="0"/>
        <v>1990</v>
      </c>
      <c r="E26" s="18"/>
      <c r="F26" s="8">
        <f t="shared" ref="F26:F55" si="15">C26*E26</f>
        <v>0</v>
      </c>
      <c r="G26" s="12">
        <f t="shared" ref="G26:G55" si="16">E26*D26</f>
        <v>0</v>
      </c>
      <c r="I26" s="53" t="s">
        <v>8</v>
      </c>
      <c r="J26" s="54" t="s">
        <v>9</v>
      </c>
    </row>
    <row r="27" spans="1:10" ht="30" customHeight="1">
      <c r="A27" s="66" t="str">
        <f>HYPERLINK("https://www.crowdgames.ru/collection/golem", "Голем")</f>
        <v>Голем</v>
      </c>
      <c r="B27" s="5" t="s">
        <v>18</v>
      </c>
      <c r="C27" s="6">
        <v>4990</v>
      </c>
      <c r="D27" s="17">
        <f t="shared" si="0"/>
        <v>4990</v>
      </c>
      <c r="E27" s="18"/>
      <c r="F27" s="8">
        <f t="shared" si="15"/>
        <v>0</v>
      </c>
      <c r="G27" s="12">
        <f t="shared" si="16"/>
        <v>0</v>
      </c>
      <c r="I27" s="55">
        <v>20000</v>
      </c>
      <c r="J27" s="56">
        <v>0.3</v>
      </c>
    </row>
    <row r="28" spans="1:10" ht="30" customHeight="1">
      <c r="A28" s="67" t="str">
        <f>HYPERLINK("https://www.crowdgames.ru/collection/zapovednik-ischezayuschie-vidy", "Заповедник. Исчезающие виды")</f>
        <v>Заповедник. Исчезающие виды</v>
      </c>
      <c r="B28" s="5" t="s">
        <v>18</v>
      </c>
      <c r="C28" s="6">
        <v>3250</v>
      </c>
      <c r="D28" s="17">
        <f t="shared" si="0"/>
        <v>3250</v>
      </c>
      <c r="E28" s="18"/>
      <c r="F28" s="8">
        <f t="shared" si="15"/>
        <v>0</v>
      </c>
      <c r="G28" s="12">
        <f t="shared" si="16"/>
        <v>0</v>
      </c>
      <c r="I28" s="57">
        <v>32500</v>
      </c>
      <c r="J28" s="58">
        <v>0.32500000000000001</v>
      </c>
    </row>
    <row r="29" spans="1:10" ht="30" customHeight="1">
      <c r="A29" s="66" t="str">
        <f>HYPERLINK("https://www.crowdgames.ru/collection/zemlya-skazaniy", "Земля сказаний")</f>
        <v>Земля сказаний</v>
      </c>
      <c r="B29" s="5" t="s">
        <v>18</v>
      </c>
      <c r="C29" s="6">
        <v>2490</v>
      </c>
      <c r="D29" s="17">
        <f t="shared" si="0"/>
        <v>2490</v>
      </c>
      <c r="E29" s="18"/>
      <c r="F29" s="8">
        <f t="shared" ref="F29:F47" si="17">C29*E29</f>
        <v>0</v>
      </c>
      <c r="G29" s="12">
        <f t="shared" ref="G29:G47" si="18">E29*D29</f>
        <v>0</v>
      </c>
      <c r="I29" s="57">
        <v>45000</v>
      </c>
      <c r="J29" s="58">
        <v>0.35</v>
      </c>
    </row>
    <row r="30" spans="1:10" ht="30" customHeight="1">
      <c r="A30" s="67" t="str">
        <f>HYPERLINK("https://www.crowdgames.ru/collection/zolotoy-kubok", "Золотой кубок")</f>
        <v>Золотой кубок</v>
      </c>
      <c r="B30" s="5" t="s">
        <v>18</v>
      </c>
      <c r="C30" s="6">
        <v>3990</v>
      </c>
      <c r="D30" s="17">
        <f t="shared" si="0"/>
        <v>3990</v>
      </c>
      <c r="E30" s="18"/>
      <c r="F30" s="8">
        <f t="shared" si="17"/>
        <v>0</v>
      </c>
      <c r="G30" s="12">
        <f t="shared" si="18"/>
        <v>0</v>
      </c>
      <c r="I30" s="57">
        <v>60000</v>
      </c>
      <c r="J30" s="58">
        <v>0.375</v>
      </c>
    </row>
    <row r="31" spans="1:10" ht="30" customHeight="1" thickBot="1">
      <c r="A31" s="67" t="str">
        <f>HYPERLINK("https://www.crowdgames.ru/collection/shop/product/insmut-putevoditel", "Инсмут. Путеводитель")</f>
        <v>Инсмут. Путеводитель</v>
      </c>
      <c r="B31" s="5" t="s">
        <v>18</v>
      </c>
      <c r="C31" s="6">
        <v>990</v>
      </c>
      <c r="D31" s="17">
        <f t="shared" si="0"/>
        <v>990</v>
      </c>
      <c r="E31" s="18"/>
      <c r="F31" s="8">
        <f t="shared" si="17"/>
        <v>0</v>
      </c>
      <c r="G31" s="12">
        <f t="shared" si="18"/>
        <v>0</v>
      </c>
      <c r="I31" s="77">
        <v>90000</v>
      </c>
      <c r="J31" s="78">
        <v>0.4</v>
      </c>
    </row>
    <row r="32" spans="1:10" ht="30" customHeight="1">
      <c r="A32" s="66" t="str">
        <f>HYPERLINK("https://www.crowdgames.ru/collection/izobreteniya-evolyutsiya-idey", "Изобретения. Эволюция идей")</f>
        <v>Изобретения. Эволюция идей</v>
      </c>
      <c r="B32" s="5" t="s">
        <v>18</v>
      </c>
      <c r="C32" s="6">
        <v>14750</v>
      </c>
      <c r="D32" s="17">
        <f t="shared" si="0"/>
        <v>14750</v>
      </c>
      <c r="E32" s="18"/>
      <c r="F32" s="8">
        <f t="shared" si="17"/>
        <v>0</v>
      </c>
      <c r="G32" s="12">
        <f t="shared" si="18"/>
        <v>0</v>
      </c>
      <c r="I32" s="100" t="s">
        <v>27</v>
      </c>
      <c r="J32" s="101"/>
    </row>
    <row r="33" spans="1:10" ht="30" customHeight="1">
      <c r="A33" s="67" t="str">
        <f>HYPERLINK("https://www.crowdgames.ru/collection/kaskadiya", "Каскадия")</f>
        <v>Каскадия</v>
      </c>
      <c r="B33" s="5" t="s">
        <v>18</v>
      </c>
      <c r="C33" s="6">
        <v>3990</v>
      </c>
      <c r="D33" s="17">
        <f t="shared" si="0"/>
        <v>3990</v>
      </c>
      <c r="E33" s="18"/>
      <c r="F33" s="8">
        <f t="shared" si="17"/>
        <v>0</v>
      </c>
      <c r="G33" s="12">
        <f t="shared" si="18"/>
        <v>0</v>
      </c>
      <c r="I33" s="102"/>
      <c r="J33" s="103"/>
    </row>
    <row r="34" spans="1:10" ht="30" customHeight="1">
      <c r="A34" s="67" t="str">
        <f>HYPERLINK("https://www.crowdgames.ru/collection/karta-zvyozd", "Карта звёзд")</f>
        <v>Карта звёзд</v>
      </c>
      <c r="B34" s="5" t="s">
        <v>18</v>
      </c>
      <c r="C34" s="6">
        <v>1490</v>
      </c>
      <c r="D34" s="17">
        <f t="shared" si="0"/>
        <v>1490</v>
      </c>
      <c r="E34" s="18"/>
      <c r="F34" s="8">
        <f t="shared" si="17"/>
        <v>0</v>
      </c>
      <c r="G34" s="12">
        <f t="shared" si="18"/>
        <v>0</v>
      </c>
      <c r="I34" s="102"/>
      <c r="J34" s="103"/>
    </row>
    <row r="35" spans="1:10" ht="30" customHeight="1">
      <c r="A35" s="67" t="str">
        <f>HYPERLINK("https://www.crowdgames.ru/collection/shop/product/kemet-krov-i-pesok", "Кемет. Кровь и песок")</f>
        <v>Кемет. Кровь и песок</v>
      </c>
      <c r="B35" s="5" t="s">
        <v>18</v>
      </c>
      <c r="C35" s="6">
        <v>9490</v>
      </c>
      <c r="D35" s="17">
        <f t="shared" si="0"/>
        <v>9490</v>
      </c>
      <c r="E35" s="18"/>
      <c r="F35" s="8">
        <f t="shared" si="17"/>
        <v>0</v>
      </c>
      <c r="G35" s="12">
        <f t="shared" si="18"/>
        <v>0</v>
      </c>
      <c r="I35" s="102"/>
      <c r="J35" s="103"/>
    </row>
    <row r="36" spans="1:10" s="24" customFormat="1" ht="30" customHeight="1">
      <c r="A36" s="66" t="str">
        <f>HYPERLINK("https://www.crowdgames.ru/collection/korni-mehanizmy-2", "Корни. Механизмы 2")</f>
        <v>Корни. Механизмы 2</v>
      </c>
      <c r="B36" s="5" t="s">
        <v>18</v>
      </c>
      <c r="C36" s="6">
        <v>2490</v>
      </c>
      <c r="D36" s="17">
        <f t="shared" si="0"/>
        <v>2490</v>
      </c>
      <c r="E36" s="18"/>
      <c r="F36" s="8">
        <f t="shared" si="17"/>
        <v>0</v>
      </c>
      <c r="G36" s="12">
        <f t="shared" si="18"/>
        <v>0</v>
      </c>
      <c r="I36" s="102"/>
      <c r="J36" s="103"/>
    </row>
    <row r="37" spans="1:10" ht="30" customHeight="1">
      <c r="A37" s="66" t="str">
        <f>HYPERLINK("https://www.crowdgames.ru/collection/korni-mehanizmy", "Корни. Механизмы")</f>
        <v>Корни. Механизмы</v>
      </c>
      <c r="B37" s="5" t="s">
        <v>18</v>
      </c>
      <c r="C37" s="6">
        <v>1990</v>
      </c>
      <c r="D37" s="17">
        <f t="shared" si="0"/>
        <v>1990</v>
      </c>
      <c r="E37" s="18"/>
      <c r="F37" s="8">
        <f t="shared" si="17"/>
        <v>0</v>
      </c>
      <c r="G37" s="12">
        <f t="shared" si="18"/>
        <v>0</v>
      </c>
      <c r="I37" s="102"/>
      <c r="J37" s="103"/>
    </row>
    <row r="38" spans="1:10" ht="30" customHeight="1">
      <c r="A38" s="66" t="str">
        <f>HYPERLINK("https://www.crowdgames.ru/collection/korni-izgnanniki-i-partizany", "Корни. Изгнанники и партизаны")</f>
        <v>Корни. Изгнанники и партизаны</v>
      </c>
      <c r="B38" s="5" t="s">
        <v>18</v>
      </c>
      <c r="C38" s="6">
        <v>990</v>
      </c>
      <c r="D38" s="17">
        <f t="shared" si="0"/>
        <v>990</v>
      </c>
      <c r="E38" s="18"/>
      <c r="F38" s="8">
        <f t="shared" si="17"/>
        <v>0</v>
      </c>
      <c r="G38" s="12">
        <f t="shared" si="18"/>
        <v>0</v>
      </c>
      <c r="I38" s="102"/>
      <c r="J38" s="103"/>
    </row>
    <row r="39" spans="1:10" ht="30" customHeight="1" thickBot="1">
      <c r="A39" s="67" t="str">
        <f>HYPERLINK("https://www.crowdgames.ru/collection/shop/product/krov-i-yarost", "Кровь и Ярость")</f>
        <v>Кровь и Ярость</v>
      </c>
      <c r="B39" s="5" t="s">
        <v>18</v>
      </c>
      <c r="C39" s="6">
        <v>8490</v>
      </c>
      <c r="D39" s="17">
        <f t="shared" si="0"/>
        <v>8490</v>
      </c>
      <c r="E39" s="18"/>
      <c r="F39" s="8">
        <f t="shared" si="17"/>
        <v>0</v>
      </c>
      <c r="G39" s="12">
        <f t="shared" si="18"/>
        <v>0</v>
      </c>
      <c r="I39" s="104"/>
      <c r="J39" s="105"/>
    </row>
    <row r="40" spans="1:10" ht="30" customHeight="1">
      <c r="A40" s="67" t="str">
        <f>HYPERLINK("https://www.crowdgames.ru/collection/shop/product/krov-i-yarost-kolduny-midgarda", "Кровь и Ярость. Колдуны Мидгарда")</f>
        <v>Кровь и Ярость. Колдуны Мидгарда</v>
      </c>
      <c r="B40" s="5" t="s">
        <v>18</v>
      </c>
      <c r="C40" s="6">
        <v>2490</v>
      </c>
      <c r="D40" s="17">
        <f t="shared" si="0"/>
        <v>2490</v>
      </c>
      <c r="E40" s="18"/>
      <c r="F40" s="8">
        <f t="shared" si="17"/>
        <v>0</v>
      </c>
      <c r="G40" s="12">
        <f t="shared" si="18"/>
        <v>0</v>
      </c>
      <c r="I40" s="79"/>
      <c r="J40" s="79"/>
    </row>
    <row r="41" spans="1:10" ht="30" customHeight="1">
      <c r="A41" s="67" t="str">
        <f>HYPERLINK("https://www.crowdgames.ru/collection/shop/product/krov-i-yarost-bogi-asgarda", "Кровь и Ярость. Боги Асгарда")</f>
        <v>Кровь и Ярость. Боги Асгарда</v>
      </c>
      <c r="B41" s="5" t="s">
        <v>18</v>
      </c>
      <c r="C41" s="6">
        <v>1990</v>
      </c>
      <c r="D41" s="17">
        <f t="shared" si="0"/>
        <v>1990</v>
      </c>
      <c r="E41" s="18"/>
      <c r="F41" s="8">
        <f t="shared" si="17"/>
        <v>0</v>
      </c>
      <c r="G41" s="12">
        <f t="shared" si="18"/>
        <v>0</v>
      </c>
      <c r="I41" s="52"/>
      <c r="J41" s="52"/>
    </row>
    <row r="42" spans="1:10" ht="30" customHeight="1">
      <c r="A42" s="67" t="str">
        <f>HYPERLINK("https://www.crowdgames.ru/collection/malenkaya-kaskadiya", "Маленькая Каскадия")</f>
        <v>Маленькая Каскадия</v>
      </c>
      <c r="B42" s="5" t="s">
        <v>18</v>
      </c>
      <c r="C42" s="6">
        <v>2990</v>
      </c>
      <c r="D42" s="17">
        <f t="shared" si="0"/>
        <v>2990</v>
      </c>
      <c r="E42" s="18"/>
      <c r="F42" s="8">
        <f t="shared" si="17"/>
        <v>0</v>
      </c>
      <c r="G42" s="12">
        <f t="shared" si="18"/>
        <v>0</v>
      </c>
      <c r="I42" s="52"/>
      <c r="J42" s="52"/>
    </row>
    <row r="43" spans="1:10" ht="30" customHeight="1">
      <c r="A43" s="66" t="str">
        <f>HYPERLINK("https://www.crowdgames.ru/collection/shop/product/mastera-plameni", "Мастера пламени")</f>
        <v>Мастера пламени</v>
      </c>
      <c r="B43" s="5" t="s">
        <v>18</v>
      </c>
      <c r="C43" s="6">
        <v>3990</v>
      </c>
      <c r="D43" s="17">
        <f t="shared" si="0"/>
        <v>3990</v>
      </c>
      <c r="E43" s="18"/>
      <c r="F43" s="8">
        <f t="shared" ref="F43" si="19">C43*E43</f>
        <v>0</v>
      </c>
      <c r="G43" s="12">
        <f t="shared" ref="G43" si="20">E43*D43</f>
        <v>0</v>
      </c>
      <c r="I43" s="62"/>
      <c r="J43" s="62"/>
    </row>
    <row r="44" spans="1:10" ht="30" customHeight="1">
      <c r="A44" s="67" t="str">
        <f>HYPERLINK("https://www.crowdgames.ru/collection/marshrut-postroen", "Маршрут построен")</f>
        <v>Маршрут построен</v>
      </c>
      <c r="B44" s="5" t="s">
        <v>18</v>
      </c>
      <c r="C44" s="6">
        <v>3490</v>
      </c>
      <c r="D44" s="17">
        <f t="shared" si="0"/>
        <v>3490</v>
      </c>
      <c r="E44" s="18"/>
      <c r="F44" s="8">
        <f t="shared" si="17"/>
        <v>0</v>
      </c>
      <c r="G44" s="12">
        <f t="shared" si="18"/>
        <v>0</v>
      </c>
      <c r="I44" s="52"/>
      <c r="J44" s="52"/>
    </row>
    <row r="45" spans="1:10" ht="30" customHeight="1">
      <c r="A45" s="67" t="str">
        <f>HYPERLINK("https://www.crowdgames.ru/collection/machina-arcana-russkoe-izdanie", "Machina Arcana. Русское издание")</f>
        <v>Machina Arcana. Русское издание</v>
      </c>
      <c r="B45" s="5" t="s">
        <v>18</v>
      </c>
      <c r="C45" s="6">
        <v>7990</v>
      </c>
      <c r="D45" s="17">
        <f t="shared" si="0"/>
        <v>7990</v>
      </c>
      <c r="E45" s="18"/>
      <c r="F45" s="8">
        <f t="shared" si="17"/>
        <v>0</v>
      </c>
      <c r="G45" s="12">
        <f t="shared" si="18"/>
        <v>0</v>
      </c>
      <c r="I45" s="65"/>
      <c r="J45" s="60"/>
    </row>
    <row r="46" spans="1:10" ht="30" customHeight="1">
      <c r="A46" s="66" t="str">
        <f>HYPERLINK("https://www.crowdgames.ru/collection/melnitsa-milye-tayny", "Мельница. Милые тайны")</f>
        <v>Мельница. Милые тайны</v>
      </c>
      <c r="B46" s="5" t="s">
        <v>18</v>
      </c>
      <c r="C46" s="6">
        <v>650</v>
      </c>
      <c r="D46" s="17">
        <f t="shared" si="0"/>
        <v>650</v>
      </c>
      <c r="E46" s="18"/>
      <c r="F46" s="8">
        <f t="shared" si="17"/>
        <v>0</v>
      </c>
      <c r="G46" s="12">
        <f t="shared" si="18"/>
        <v>0</v>
      </c>
      <c r="I46" s="52"/>
      <c r="J46" s="52"/>
    </row>
    <row r="47" spans="1:10" ht="30" customHeight="1">
      <c r="A47" s="66" t="str">
        <f>HYPERLINK("https://www.crowdgames.ru/collection/melnitza-uyutnie-istorii", "Мельница. Уютные истории")</f>
        <v>Мельница. Уютные истории</v>
      </c>
      <c r="B47" s="5" t="s">
        <v>18</v>
      </c>
      <c r="C47" s="6">
        <v>650</v>
      </c>
      <c r="D47" s="17">
        <f t="shared" si="0"/>
        <v>650</v>
      </c>
      <c r="E47" s="18"/>
      <c r="F47" s="8">
        <f t="shared" si="17"/>
        <v>0</v>
      </c>
      <c r="G47" s="12">
        <f t="shared" si="18"/>
        <v>0</v>
      </c>
      <c r="I47" s="52"/>
      <c r="J47" s="52"/>
    </row>
    <row r="48" spans="1:10" ht="30" customHeight="1">
      <c r="A48" s="66" t="str">
        <f>HYPERLINK("https://www.crowdgames.ru/collection/neizvestnaya-planeta", "Неизвестная планета")</f>
        <v>Неизвестная планета</v>
      </c>
      <c r="B48" s="5" t="s">
        <v>18</v>
      </c>
      <c r="C48" s="6">
        <v>8490</v>
      </c>
      <c r="D48" s="17">
        <f t="shared" si="0"/>
        <v>8490</v>
      </c>
      <c r="E48" s="18"/>
      <c r="F48" s="8">
        <f t="shared" ref="F48" si="21">C48*E48</f>
        <v>0</v>
      </c>
      <c r="G48" s="12">
        <f t="shared" ref="G48" si="22">E48*D48</f>
        <v>0</v>
      </c>
      <c r="I48" s="52"/>
      <c r="J48" s="52"/>
    </row>
    <row r="49" spans="1:10" ht="30" customHeight="1">
      <c r="A49" s="67" t="str">
        <f>HYPERLINK("https://www.crowdgames.ru/collection/neizvestnaya-planeta-superlunie", "Неизвестная планета. Суперлуние")</f>
        <v>Неизвестная планета. Суперлуние</v>
      </c>
      <c r="B49" s="5" t="s">
        <v>18</v>
      </c>
      <c r="C49" s="6">
        <v>3990</v>
      </c>
      <c r="D49" s="17">
        <f t="shared" si="0"/>
        <v>3990</v>
      </c>
      <c r="E49" s="18"/>
      <c r="F49" s="8">
        <f t="shared" si="15"/>
        <v>0</v>
      </c>
      <c r="G49" s="12">
        <f t="shared" si="16"/>
        <v>0</v>
      </c>
      <c r="I49" s="52"/>
      <c r="J49" s="52"/>
    </row>
    <row r="50" spans="1:10" ht="30" customHeight="1">
      <c r="A50" s="66" t="str">
        <f>HYPERLINK("https://www.crowdgames.ru/collection/obet","Обет")</f>
        <v>Обет</v>
      </c>
      <c r="B50" s="5" t="s">
        <v>18</v>
      </c>
      <c r="C50" s="6">
        <v>9490</v>
      </c>
      <c r="D50" s="17">
        <f t="shared" si="0"/>
        <v>9490</v>
      </c>
      <c r="E50" s="18"/>
      <c r="F50" s="8">
        <f t="shared" si="15"/>
        <v>0</v>
      </c>
      <c r="G50" s="12">
        <f t="shared" si="16"/>
        <v>0</v>
      </c>
      <c r="I50" s="52"/>
      <c r="J50" s="52"/>
    </row>
    <row r="51" spans="1:10" ht="30" customHeight="1">
      <c r="A51" s="67" t="str">
        <f>HYPERLINK("https://www.crowdgames.ru/collection/shop/product/opustoshenie", "Опустошение")</f>
        <v>Опустошение</v>
      </c>
      <c r="B51" s="5" t="s">
        <v>18</v>
      </c>
      <c r="C51" s="6">
        <v>11490</v>
      </c>
      <c r="D51" s="17">
        <f t="shared" si="0"/>
        <v>11490</v>
      </c>
      <c r="E51" s="63"/>
      <c r="F51" s="8">
        <f t="shared" si="15"/>
        <v>0</v>
      </c>
      <c r="G51" s="12">
        <f t="shared" si="16"/>
        <v>0</v>
      </c>
      <c r="I51" s="52"/>
      <c r="J51" s="52"/>
    </row>
    <row r="52" spans="1:10" ht="30" customHeight="1">
      <c r="A52" s="66" t="str">
        <f>HYPERLINK("https://www.crowdgames.ru/collection/aftermath","Отголоски")</f>
        <v>Отголоски</v>
      </c>
      <c r="B52" s="5" t="s">
        <v>18</v>
      </c>
      <c r="C52" s="6">
        <v>6490</v>
      </c>
      <c r="D52" s="17">
        <f t="shared" si="0"/>
        <v>6490</v>
      </c>
      <c r="E52" s="18"/>
      <c r="F52" s="8">
        <f t="shared" si="15"/>
        <v>0</v>
      </c>
      <c r="G52" s="12">
        <f t="shared" si="16"/>
        <v>0</v>
      </c>
      <c r="I52" s="52"/>
      <c r="J52" s="52"/>
    </row>
    <row r="53" spans="1:10" ht="30" customHeight="1">
      <c r="A53" s="67" t="str">
        <f>HYPERLINK("https://www.crowdgames.ru/collection/pax-illuminaten-russkoe-izdanie", "Pax Illuminaten. Русское издание")</f>
        <v>Pax Illuminaten. Русское издание</v>
      </c>
      <c r="B53" s="5" t="s">
        <v>18</v>
      </c>
      <c r="C53" s="6">
        <v>5490</v>
      </c>
      <c r="D53" s="17">
        <f t="shared" si="0"/>
        <v>5490</v>
      </c>
      <c r="E53" s="18"/>
      <c r="F53" s="8">
        <f t="shared" si="15"/>
        <v>0</v>
      </c>
      <c r="G53" s="12">
        <f t="shared" si="16"/>
        <v>0</v>
      </c>
      <c r="I53" s="21"/>
    </row>
    <row r="54" spans="1:10" ht="30" customHeight="1">
      <c r="A54" s="80" t="str">
        <f>HYPERLINK("https://www.crowdgames.ru/collection/pariaschii-gorod","Парящий город")</f>
        <v>Парящий город</v>
      </c>
      <c r="B54" s="5" t="s">
        <v>18</v>
      </c>
      <c r="C54" s="6">
        <v>9990</v>
      </c>
      <c r="D54" s="17">
        <f t="shared" ref="D54:D55" si="23">C54*(1-$C$106)</f>
        <v>9990</v>
      </c>
      <c r="E54" s="18"/>
      <c r="F54" s="8">
        <f t="shared" si="15"/>
        <v>0</v>
      </c>
      <c r="G54" s="12">
        <f t="shared" si="16"/>
        <v>0</v>
      </c>
      <c r="I54" s="88"/>
    </row>
    <row r="55" spans="1:10" ht="30" customHeight="1">
      <c r="A55" s="67" t="str">
        <f>HYPERLINK("https://www.crowdgames.ru/collection/pax-illuminaten-russkoe-izdanie", "Плеймат для игры «Pax Illuminaten. Русское издание»")</f>
        <v>Плеймат для игры «Pax Illuminaten. Русское издание»</v>
      </c>
      <c r="B55" s="5" t="s">
        <v>18</v>
      </c>
      <c r="C55" s="6">
        <v>3490</v>
      </c>
      <c r="D55" s="17">
        <f t="shared" si="23"/>
        <v>3490</v>
      </c>
      <c r="E55" s="18"/>
      <c r="F55" s="8">
        <f t="shared" si="15"/>
        <v>0</v>
      </c>
      <c r="G55" s="12">
        <f t="shared" si="16"/>
        <v>0</v>
      </c>
      <c r="I55" s="21"/>
    </row>
    <row r="56" spans="1:10" ht="30" customHeight="1">
      <c r="A56" s="69" t="str">
        <f>HYPERLINK("https://www.crowdgames.ru/collection/plotina", "Плотина (Акция -60% до 31.12.25)")</f>
        <v>Плотина (Акция -60% до 31.12.25)</v>
      </c>
      <c r="B56" s="70" t="s">
        <v>18</v>
      </c>
      <c r="C56" s="71">
        <v>6990</v>
      </c>
      <c r="D56" s="72">
        <v>2796</v>
      </c>
      <c r="E56" s="73"/>
      <c r="F56" s="71">
        <f>C56*E56</f>
        <v>0</v>
      </c>
      <c r="G56" s="74">
        <f>E56*D56</f>
        <v>0</v>
      </c>
      <c r="I56" s="52"/>
      <c r="J56" s="52"/>
    </row>
    <row r="57" spans="1:10" ht="30" customHeight="1">
      <c r="A57" s="69" t="str">
        <f>HYPERLINK("https://www.crowdgames.ru/collection/barrage-leeghwater-project", "Плотина. Проект «Легватер» (Акция -60% до 31.12.25)")</f>
        <v>Плотина. Проект «Легватер» (Акция -60% до 31.12.25)</v>
      </c>
      <c r="B57" s="70" t="s">
        <v>18</v>
      </c>
      <c r="C57" s="71">
        <v>2990</v>
      </c>
      <c r="D57" s="72">
        <v>1196</v>
      </c>
      <c r="E57" s="75"/>
      <c r="F57" s="76">
        <f t="shared" ref="F57:F75" si="24">C57*E57</f>
        <v>0</v>
      </c>
      <c r="G57" s="74">
        <f t="shared" ref="G57:G75" si="25">E57*D57</f>
        <v>0</v>
      </c>
      <c r="I57" s="52"/>
      <c r="J57" s="52"/>
    </row>
    <row r="58" spans="1:10" s="24" customFormat="1" ht="30" customHeight="1">
      <c r="A58" s="69" t="str">
        <f>HYPERLINK("https://www.crowdgames.ru/collection/plotina-pyatyy-igrok", "Плотина. Пятый игрок (Акция -60% до 31.12.25)")</f>
        <v>Плотина. Пятый игрок (Акция -60% до 31.12.25)</v>
      </c>
      <c r="B58" s="70" t="s">
        <v>18</v>
      </c>
      <c r="C58" s="71">
        <v>2990</v>
      </c>
      <c r="D58" s="72">
        <v>1196</v>
      </c>
      <c r="E58" s="75"/>
      <c r="F58" s="76">
        <f t="shared" si="24"/>
        <v>0</v>
      </c>
      <c r="G58" s="74">
        <f t="shared" si="25"/>
        <v>0</v>
      </c>
    </row>
    <row r="59" spans="1:10" s="24" customFormat="1" ht="30" customHeight="1">
      <c r="A59" s="69" t="str">
        <f>HYPERLINK("https://www.crowdgames.ru/collection/shop/product/plotina-novye-zemli-mosty-kolorado", "Плотина. Новые земли. Мосты Колорадо (Акция -60% до 31.12.25)")</f>
        <v>Плотина. Новые земли. Мосты Колорадо (Акция -60% до 31.12.25)</v>
      </c>
      <c r="B59" s="70" t="s">
        <v>18</v>
      </c>
      <c r="C59" s="71">
        <v>1590</v>
      </c>
      <c r="D59" s="72">
        <v>636</v>
      </c>
      <c r="E59" s="75"/>
      <c r="F59" s="76">
        <f t="shared" si="24"/>
        <v>0</v>
      </c>
      <c r="G59" s="74">
        <f t="shared" si="25"/>
        <v>0</v>
      </c>
    </row>
    <row r="60" spans="1:10" ht="30" customHeight="1">
      <c r="A60" s="66" t="str">
        <f>HYPERLINK("https://www.crowdgames.ru/collection/shop/product/plyushevye-skazki-oh-bratets", "Плюшевые сказки. Ох, братец! (Дополнение)")</f>
        <v>Плюшевые сказки. Ох, братец! (Дополнение)</v>
      </c>
      <c r="B60" s="5" t="s">
        <v>19</v>
      </c>
      <c r="C60" s="6">
        <v>3490</v>
      </c>
      <c r="D60" s="17">
        <f t="shared" ref="D60:D91" si="26">C60*(1-$C$106)</f>
        <v>3490</v>
      </c>
      <c r="E60" s="7"/>
      <c r="F60" s="6">
        <f t="shared" si="24"/>
        <v>0</v>
      </c>
      <c r="G60" s="12">
        <f t="shared" si="25"/>
        <v>0</v>
      </c>
      <c r="I60" s="52"/>
      <c r="J60" s="52"/>
    </row>
    <row r="61" spans="1:10" s="24" customFormat="1" ht="30" customHeight="1">
      <c r="A61" s="66" t="str">
        <f>HYPERLINK("https://www.crowdgames.ru/collection/pobeg-iz-vistara", "Побег из Вистара")</f>
        <v>Побег из Вистара</v>
      </c>
      <c r="B61" s="5" t="s">
        <v>18</v>
      </c>
      <c r="C61" s="6">
        <v>5750</v>
      </c>
      <c r="D61" s="17">
        <f t="shared" si="26"/>
        <v>5750</v>
      </c>
      <c r="E61" s="18"/>
      <c r="F61" s="8">
        <f t="shared" si="24"/>
        <v>0</v>
      </c>
      <c r="G61" s="12">
        <f t="shared" si="25"/>
        <v>0</v>
      </c>
    </row>
    <row r="62" spans="1:10" ht="30" customHeight="1">
      <c r="A62" s="66" t="str">
        <f>HYPERLINK("https://www.crowdgames.ru/collection/pokoriteli-kosmosa","Покорители космоса")</f>
        <v>Покорители космоса</v>
      </c>
      <c r="B62" s="5" t="s">
        <v>18</v>
      </c>
      <c r="C62" s="6">
        <v>1250</v>
      </c>
      <c r="D62" s="17">
        <f t="shared" si="26"/>
        <v>1250</v>
      </c>
      <c r="E62" s="18"/>
      <c r="F62" s="8">
        <f t="shared" si="24"/>
        <v>0</v>
      </c>
      <c r="G62" s="12">
        <f t="shared" si="25"/>
        <v>0</v>
      </c>
      <c r="I62" s="52"/>
      <c r="J62" s="52"/>
    </row>
    <row r="63" spans="1:10" ht="30" customHeight="1">
      <c r="A63" s="66" t="str">
        <f>HYPERLINK("https://www.crowdgames.ru/collection/pokoriteli-kosmosa-novye-gorizonty","Покорители космоса. Новые горизонты")</f>
        <v>Покорители космоса. Новые горизонты</v>
      </c>
      <c r="B63" s="5" t="s">
        <v>18</v>
      </c>
      <c r="C63" s="6">
        <v>1100</v>
      </c>
      <c r="D63" s="17">
        <f t="shared" si="26"/>
        <v>1100</v>
      </c>
      <c r="E63" s="18"/>
      <c r="F63" s="8">
        <f t="shared" si="24"/>
        <v>0</v>
      </c>
      <c r="G63" s="12">
        <f t="shared" si="25"/>
        <v>0</v>
      </c>
      <c r="I63" s="52"/>
      <c r="J63" s="52"/>
    </row>
    <row r="64" spans="1:10" ht="30" customHeight="1">
      <c r="A64" s="66" t="str">
        <f>HYPERLINK("https://www.crowdgames.ru/collection/portaly", "Порталы")</f>
        <v>Порталы</v>
      </c>
      <c r="B64" s="5" t="s">
        <v>18</v>
      </c>
      <c r="C64" s="6">
        <v>2750</v>
      </c>
      <c r="D64" s="17">
        <f t="shared" si="26"/>
        <v>2750</v>
      </c>
      <c r="E64" s="18"/>
      <c r="F64" s="8">
        <f t="shared" si="24"/>
        <v>0</v>
      </c>
      <c r="G64" s="12">
        <f t="shared" si="25"/>
        <v>0</v>
      </c>
      <c r="I64" s="52"/>
      <c r="J64" s="52"/>
    </row>
    <row r="65" spans="1:10" s="24" customFormat="1" ht="30" customHeight="1">
      <c r="A65" s="66" t="str">
        <f>HYPERLINK("https://www.crowdgames.ru/collection/poezium", "Поэзиум")</f>
        <v>Поэзиум</v>
      </c>
      <c r="B65" s="5" t="s">
        <v>22</v>
      </c>
      <c r="C65" s="6">
        <v>1990</v>
      </c>
      <c r="D65" s="17">
        <f t="shared" si="26"/>
        <v>1990</v>
      </c>
      <c r="E65" s="7"/>
      <c r="F65" s="6">
        <f t="shared" si="24"/>
        <v>0</v>
      </c>
      <c r="G65" s="12">
        <f t="shared" si="25"/>
        <v>0</v>
      </c>
      <c r="I65" s="52"/>
      <c r="J65" s="52"/>
    </row>
    <row r="66" spans="1:10" ht="30" customHeight="1">
      <c r="A66" s="67" t="str">
        <f>HYPERLINK("https://www.crowdgames.ru/collection/puteshestvie-darvina", "Путешествие Дарвина")</f>
        <v>Путешествие Дарвина</v>
      </c>
      <c r="B66" s="5" t="s">
        <v>18</v>
      </c>
      <c r="C66" s="6">
        <v>5990</v>
      </c>
      <c r="D66" s="17">
        <f t="shared" si="26"/>
        <v>5990</v>
      </c>
      <c r="E66" s="18"/>
      <c r="F66" s="8">
        <f t="shared" si="24"/>
        <v>0</v>
      </c>
      <c r="G66" s="12">
        <f t="shared" si="25"/>
        <v>0</v>
      </c>
      <c r="I66" s="52"/>
      <c r="J66" s="52"/>
    </row>
    <row r="67" spans="1:10" ht="30" customHeight="1">
      <c r="A67" s="67" t="str">
        <f>HYPERLINK("https://www.crowdgames.ru/collection/predel-razdor-i-padenie", "Предел")</f>
        <v>Предел</v>
      </c>
      <c r="B67" s="5" t="s">
        <v>18</v>
      </c>
      <c r="C67" s="6">
        <v>5990</v>
      </c>
      <c r="D67" s="17">
        <f t="shared" si="26"/>
        <v>5990</v>
      </c>
      <c r="E67" s="18"/>
      <c r="F67" s="8">
        <f t="shared" si="24"/>
        <v>0</v>
      </c>
      <c r="G67" s="12">
        <f t="shared" si="25"/>
        <v>0</v>
      </c>
      <c r="I67" s="59"/>
      <c r="J67" s="60"/>
    </row>
    <row r="68" spans="1:10" ht="30" customHeight="1">
      <c r="A68" s="80" t="str">
        <f>HYPERLINK("https://www.crowdgames.ru/collection/predel-zarazhenie", "Предел. Заражение (Дополнение)")</f>
        <v>Предел. Заражение (Дополнение)</v>
      </c>
      <c r="B68" s="5" t="s">
        <v>18</v>
      </c>
      <c r="C68" s="6">
        <v>8490</v>
      </c>
      <c r="D68" s="17">
        <f t="shared" si="26"/>
        <v>8490</v>
      </c>
      <c r="E68" s="18"/>
      <c r="F68" s="8">
        <f t="shared" si="24"/>
        <v>0</v>
      </c>
      <c r="G68" s="12">
        <f t="shared" si="25"/>
        <v>0</v>
      </c>
      <c r="I68" s="89"/>
    </row>
    <row r="69" spans="1:10" ht="30" customHeight="1">
      <c r="A69" s="66" t="str">
        <f>HYPERLINK("https://www.crowdgames.ru/collection/prigorod", "Пригород")</f>
        <v>Пригород</v>
      </c>
      <c r="B69" s="5" t="s">
        <v>18</v>
      </c>
      <c r="C69" s="6">
        <v>5250</v>
      </c>
      <c r="D69" s="17">
        <f t="shared" si="26"/>
        <v>5250</v>
      </c>
      <c r="E69" s="18"/>
      <c r="F69" s="8">
        <f t="shared" si="24"/>
        <v>0</v>
      </c>
      <c r="G69" s="12">
        <f t="shared" si="25"/>
        <v>0</v>
      </c>
      <c r="I69" s="21"/>
    </row>
    <row r="70" spans="1:10" ht="30" customHeight="1">
      <c r="A70" s="66" t="str">
        <f>HYPERLINK("https://www.crowdgames.ru/collection/project-l", "Проект L")</f>
        <v>Проект L</v>
      </c>
      <c r="B70" s="5" t="s">
        <v>18</v>
      </c>
      <c r="C70" s="6">
        <v>2990</v>
      </c>
      <c r="D70" s="17">
        <f t="shared" si="26"/>
        <v>2990</v>
      </c>
      <c r="E70" s="7"/>
      <c r="F70" s="6">
        <f t="shared" si="24"/>
        <v>0</v>
      </c>
      <c r="G70" s="12">
        <f t="shared" si="25"/>
        <v>0</v>
      </c>
      <c r="I70" s="52"/>
      <c r="J70" s="52"/>
    </row>
    <row r="71" spans="1:10" ht="30" customHeight="1">
      <c r="A71" s="66" t="str">
        <f>HYPERLINK("https://www.crowdgames.ru/collection/project-l-dopolneniya", "Проект L. Призрачная фигура (Дополнение)")</f>
        <v>Проект L. Призрачная фигура (Дополнение)</v>
      </c>
      <c r="B71" s="5" t="s">
        <v>18</v>
      </c>
      <c r="C71" s="6">
        <v>2150</v>
      </c>
      <c r="D71" s="17">
        <f t="shared" si="26"/>
        <v>2150</v>
      </c>
      <c r="E71" s="7"/>
      <c r="F71" s="6">
        <f t="shared" si="24"/>
        <v>0</v>
      </c>
      <c r="G71" s="12">
        <f t="shared" si="25"/>
        <v>0</v>
      </c>
      <c r="I71" s="52"/>
      <c r="J71" s="52"/>
    </row>
    <row r="72" spans="1:10" ht="30" customHeight="1">
      <c r="A72" s="66" t="str">
        <f>HYPERLINK("https://www.crowdgames.ru/collection/project-l-dopolneniya", "Проект L. Уловки (Дополнение)")</f>
        <v>Проект L. Уловки (Дополнение)</v>
      </c>
      <c r="B72" s="5" t="s">
        <v>18</v>
      </c>
      <c r="C72" s="6">
        <v>1650</v>
      </c>
      <c r="D72" s="17">
        <f t="shared" si="26"/>
        <v>1650</v>
      </c>
      <c r="E72" s="7"/>
      <c r="F72" s="6">
        <f t="shared" si="24"/>
        <v>0</v>
      </c>
      <c r="G72" s="12">
        <f t="shared" si="25"/>
        <v>0</v>
      </c>
      <c r="I72" s="25"/>
    </row>
    <row r="73" spans="1:10" ht="30" customHeight="1">
      <c r="A73" s="66" t="str">
        <f>HYPERLINK("https://www.crowdgames.ru/collection/priveredy", "Привереды")</f>
        <v>Привереды</v>
      </c>
      <c r="B73" s="5" t="s">
        <v>18</v>
      </c>
      <c r="C73" s="6">
        <v>550</v>
      </c>
      <c r="D73" s="17">
        <f t="shared" si="26"/>
        <v>550</v>
      </c>
      <c r="E73" s="7"/>
      <c r="F73" s="6">
        <f t="shared" si="24"/>
        <v>0</v>
      </c>
      <c r="G73" s="12">
        <f t="shared" si="25"/>
        <v>0</v>
      </c>
      <c r="I73" s="52"/>
      <c r="J73" s="52"/>
    </row>
    <row r="74" spans="1:10" ht="30" customHeight="1">
      <c r="A74" s="66" t="str">
        <f>HYPERLINK("https://www.crowdgames.ru/collection/pyat-plemyon", "Пять племён. Джинны Накалы")</f>
        <v>Пять племён. Джинны Накалы</v>
      </c>
      <c r="B74" s="5" t="s">
        <v>18</v>
      </c>
      <c r="C74" s="6">
        <v>5750</v>
      </c>
      <c r="D74" s="17">
        <f t="shared" si="26"/>
        <v>5750</v>
      </c>
      <c r="E74" s="18"/>
      <c r="F74" s="8">
        <f t="shared" si="24"/>
        <v>0</v>
      </c>
      <c r="G74" s="12">
        <f t="shared" si="25"/>
        <v>0</v>
      </c>
      <c r="I74" s="52"/>
      <c r="J74" s="52"/>
    </row>
    <row r="75" spans="1:10" ht="30" customHeight="1">
      <c r="A75" s="66" t="str">
        <f>HYPERLINK("https://www.crowdgames.ru/collection/shop/product/pyat-plemyon-remeslenniki-nakaly", "Пять племён. Ремесленники Накалы (Дополнение)")</f>
        <v>Пять племён. Ремесленники Накалы (Дополнение)</v>
      </c>
      <c r="B75" s="5" t="s">
        <v>18</v>
      </c>
      <c r="C75" s="6">
        <v>2990</v>
      </c>
      <c r="D75" s="17">
        <f t="shared" si="26"/>
        <v>2990</v>
      </c>
      <c r="E75" s="18"/>
      <c r="F75" s="8">
        <f t="shared" si="24"/>
        <v>0</v>
      </c>
      <c r="G75" s="12">
        <f t="shared" si="25"/>
        <v>0</v>
      </c>
      <c r="I75" s="52"/>
      <c r="J75" s="52"/>
    </row>
    <row r="76" spans="1:10" ht="30" customHeight="1">
      <c r="A76" s="66" t="str">
        <f>HYPERLINK("https://www.crowdgames.ru/collection/dopolnenie-k-igre-sagrada","Саграда. 5—6 игроков")</f>
        <v>Саграда. 5—6 игроков</v>
      </c>
      <c r="B76" s="5" t="s">
        <v>18</v>
      </c>
      <c r="C76" s="6">
        <v>2250</v>
      </c>
      <c r="D76" s="17">
        <f t="shared" si="26"/>
        <v>2250</v>
      </c>
      <c r="E76" s="7"/>
      <c r="F76" s="6">
        <f>C76*E76</f>
        <v>0</v>
      </c>
      <c r="G76" s="12">
        <f>E76*D76</f>
        <v>0</v>
      </c>
      <c r="I76" s="25"/>
    </row>
    <row r="77" spans="1:10" ht="30" customHeight="1">
      <c r="A77" s="66" t="str">
        <f>HYPERLINK("https://www.crowdgames.ru/collection/shop/product/sagrada-zhizn","Саграда. Жизнь")</f>
        <v>Саграда. Жизнь</v>
      </c>
      <c r="B77" s="5" t="s">
        <v>18</v>
      </c>
      <c r="C77" s="6">
        <v>1350</v>
      </c>
      <c r="D77" s="17">
        <f t="shared" si="26"/>
        <v>1350</v>
      </c>
      <c r="E77" s="7"/>
      <c r="F77" s="6">
        <f t="shared" ref="F77:F85" si="27">C77*E77</f>
        <v>0</v>
      </c>
      <c r="G77" s="12">
        <f t="shared" ref="G77:G85" si="28">E77*D77</f>
        <v>0</v>
      </c>
      <c r="I77" s="25"/>
    </row>
    <row r="78" spans="1:10" s="24" customFormat="1" ht="30" customHeight="1">
      <c r="A78" s="66" t="str">
        <f>HYPERLINK("https://www.crowdgames.ru/collection/sagrada-strast","Саграда. Страсть")</f>
        <v>Саграда. Страсть</v>
      </c>
      <c r="B78" s="5" t="s">
        <v>18</v>
      </c>
      <c r="C78" s="6">
        <v>1350</v>
      </c>
      <c r="D78" s="17">
        <f t="shared" si="26"/>
        <v>1350</v>
      </c>
      <c r="E78" s="7"/>
      <c r="F78" s="6">
        <f t="shared" si="27"/>
        <v>0</v>
      </c>
      <c r="G78" s="12">
        <f t="shared" si="28"/>
        <v>0</v>
      </c>
      <c r="I78" s="21"/>
    </row>
    <row r="79" spans="1:10" ht="30" customHeight="1">
      <c r="A79" s="67" t="str">
        <f>HYPERLINK("https://www.crowdgames.ru/collection/shop/product/serp-02", "Серп")</f>
        <v>Серп</v>
      </c>
      <c r="B79" s="5" t="s">
        <v>18</v>
      </c>
      <c r="C79" s="6">
        <v>9990</v>
      </c>
      <c r="D79" s="17">
        <f t="shared" si="26"/>
        <v>9990</v>
      </c>
      <c r="E79" s="18"/>
      <c r="F79" s="8">
        <f t="shared" si="27"/>
        <v>0</v>
      </c>
      <c r="G79" s="12">
        <f t="shared" si="28"/>
        <v>0</v>
      </c>
      <c r="I79" s="59"/>
      <c r="J79" s="60"/>
    </row>
    <row r="80" spans="1:10" ht="30" customHeight="1">
      <c r="A80" s="67" t="str">
        <f>HYPERLINK("https://www.crowdgames.ru/collection/shop/product/serp-voshozhdenie-fenrisa", "Серп. Восхождение Фенриса")</f>
        <v>Серп. Восхождение Фенриса</v>
      </c>
      <c r="B80" s="5" t="s">
        <v>18</v>
      </c>
      <c r="C80" s="6">
        <v>5990</v>
      </c>
      <c r="D80" s="17">
        <f t="shared" si="26"/>
        <v>5990</v>
      </c>
      <c r="E80" s="18"/>
      <c r="F80" s="8">
        <f t="shared" si="27"/>
        <v>0</v>
      </c>
      <c r="G80" s="12">
        <f t="shared" si="28"/>
        <v>0</v>
      </c>
      <c r="I80" s="59"/>
      <c r="J80" s="60"/>
    </row>
    <row r="81" spans="1:10" ht="30" customHeight="1">
      <c r="A81" s="67" t="str">
        <f>HYPERLINK("https://www.crowdgames.ru/collection/shop/product/serp-zahvatchiki-iz-dalyokih-zemel", "Серп. Захватчики из далеких земель")</f>
        <v>Серп. Захватчики из далеких земель</v>
      </c>
      <c r="B81" s="5" t="s">
        <v>18</v>
      </c>
      <c r="C81" s="6">
        <v>3490</v>
      </c>
      <c r="D81" s="17">
        <f t="shared" si="26"/>
        <v>3490</v>
      </c>
      <c r="E81" s="18"/>
      <c r="F81" s="8">
        <f t="shared" si="27"/>
        <v>0</v>
      </c>
      <c r="G81" s="12">
        <f t="shared" si="28"/>
        <v>0</v>
      </c>
      <c r="I81" s="59"/>
      <c r="J81" s="60"/>
    </row>
    <row r="82" spans="1:10" ht="30" customHeight="1">
      <c r="A82" s="67" t="str">
        <f>HYPERLINK("https://www.crowdgames.ru/collection/shop/product/serp-nebesnyy-gambit", "Серп. Небесный гамбит")</f>
        <v>Серп. Небесный гамбит</v>
      </c>
      <c r="B82" s="5" t="s">
        <v>18</v>
      </c>
      <c r="C82" s="6">
        <v>3250</v>
      </c>
      <c r="D82" s="17">
        <f t="shared" si="26"/>
        <v>3250</v>
      </c>
      <c r="E82" s="18"/>
      <c r="F82" s="8">
        <f t="shared" si="27"/>
        <v>0</v>
      </c>
      <c r="G82" s="12">
        <f t="shared" si="28"/>
        <v>0</v>
      </c>
      <c r="I82" s="59"/>
      <c r="J82" s="60"/>
    </row>
    <row r="83" spans="1:10" ht="30" customHeight="1">
      <c r="A83" s="67" t="str">
        <f>HYPERLINK("https://www.crowdgames.ru/collection/shop/product/mini-dopolnenie-serp-priklyucheniya", "Серп. Приключения")</f>
        <v>Серп. Приключения</v>
      </c>
      <c r="B83" s="5" t="s">
        <v>18</v>
      </c>
      <c r="C83" s="6">
        <v>2250</v>
      </c>
      <c r="D83" s="17">
        <f t="shared" si="26"/>
        <v>2250</v>
      </c>
      <c r="E83" s="18"/>
      <c r="F83" s="8">
        <f t="shared" si="27"/>
        <v>0</v>
      </c>
      <c r="G83" s="12">
        <f t="shared" si="28"/>
        <v>0</v>
      </c>
      <c r="I83" s="59"/>
      <c r="J83" s="60"/>
    </row>
    <row r="84" spans="1:10" ht="30" customHeight="1">
      <c r="A84" s="67" t="str">
        <f>HYPERLINK("https://www.crowdgames.ru/collection/sladkozemie", "Сладкоземье")</f>
        <v>Сладкоземье</v>
      </c>
      <c r="B84" s="5" t="s">
        <v>18</v>
      </c>
      <c r="C84" s="6">
        <v>8490</v>
      </c>
      <c r="D84" s="17">
        <f t="shared" si="26"/>
        <v>8490</v>
      </c>
      <c r="E84" s="18"/>
      <c r="F84" s="8">
        <f t="shared" si="27"/>
        <v>0</v>
      </c>
      <c r="G84" s="12">
        <f t="shared" si="28"/>
        <v>0</v>
      </c>
      <c r="I84" s="59"/>
      <c r="J84" s="60"/>
    </row>
    <row r="85" spans="1:10" s="24" customFormat="1" ht="30" customHeight="1">
      <c r="A85" s="67" t="str">
        <f>HYPERLINK("https://www.crowdgames.ru/collection/shop/product/sunduk-voyny","Сундук войны")</f>
        <v>Сундук войны</v>
      </c>
      <c r="B85" s="5" t="s">
        <v>18</v>
      </c>
      <c r="C85" s="6">
        <v>4990</v>
      </c>
      <c r="D85" s="17">
        <f t="shared" si="26"/>
        <v>4990</v>
      </c>
      <c r="E85" s="7"/>
      <c r="F85" s="6">
        <f t="shared" si="27"/>
        <v>0</v>
      </c>
      <c r="G85" s="12">
        <f t="shared" si="28"/>
        <v>0</v>
      </c>
      <c r="I85" s="21"/>
    </row>
    <row r="86" spans="1:10" s="24" customFormat="1" ht="30" customHeight="1">
      <c r="A86" s="67" t="str">
        <f>HYPERLINK("https://www.crowdgames.ru/collection/sunduk-voyny-osada","Сундук войны. Осада")</f>
        <v>Сундук войны. Осада</v>
      </c>
      <c r="B86" s="5" t="s">
        <v>18</v>
      </c>
      <c r="C86" s="6">
        <v>2490</v>
      </c>
      <c r="D86" s="17">
        <f t="shared" si="26"/>
        <v>2490</v>
      </c>
      <c r="E86" s="7"/>
      <c r="F86" s="6">
        <f t="shared" ref="F86:F87" si="29">C86*E86</f>
        <v>0</v>
      </c>
      <c r="G86" s="12">
        <f t="shared" ref="G86:G87" si="30">E86*D86</f>
        <v>0</v>
      </c>
      <c r="H86" s="3"/>
      <c r="I86" s="51"/>
      <c r="J86" s="51"/>
    </row>
    <row r="87" spans="1:10" s="24" customFormat="1" ht="30" customHeight="1">
      <c r="A87" s="67" t="str">
        <f>HYPERLINK("https://www.crowdgames.ru/collection/sunduk-voyny-osada","Сундук войны. Сумерки")</f>
        <v>Сундук войны. Сумерки</v>
      </c>
      <c r="B87" s="5" t="s">
        <v>18</v>
      </c>
      <c r="C87" s="6">
        <v>2690</v>
      </c>
      <c r="D87" s="17">
        <f t="shared" si="26"/>
        <v>2690</v>
      </c>
      <c r="E87" s="7"/>
      <c r="F87" s="6">
        <f t="shared" si="29"/>
        <v>0</v>
      </c>
      <c r="G87" s="12">
        <f t="shared" si="30"/>
        <v>0</v>
      </c>
      <c r="H87" s="3"/>
      <c r="I87" s="51"/>
      <c r="J87" s="51"/>
    </row>
    <row r="88" spans="1:10" s="24" customFormat="1" ht="30" customHeight="1">
      <c r="A88" s="66" t="str">
        <f>HYPERLINK("https://www.crowdgames.ru/collection/taynaya-vlast-noviy-mirovoy-poryadok-vtoroye-izdaniye", "Тайная власть. Новый мировой порядок. Второе издание")</f>
        <v>Тайная власть. Новый мировой порядок. Второе издание</v>
      </c>
      <c r="B88" s="5" t="s">
        <v>18</v>
      </c>
      <c r="C88" s="6">
        <v>2250</v>
      </c>
      <c r="D88" s="17">
        <f t="shared" si="26"/>
        <v>2250</v>
      </c>
      <c r="E88" s="7"/>
      <c r="F88" s="6">
        <f>C88*E88</f>
        <v>0</v>
      </c>
      <c r="G88" s="12">
        <f>E88*D88</f>
        <v>0</v>
      </c>
      <c r="H88" s="3"/>
      <c r="I88" s="51"/>
      <c r="J88" s="51"/>
    </row>
    <row r="89" spans="1:10" s="24" customFormat="1" ht="30" customHeight="1">
      <c r="A89" s="66" t="str">
        <f>HYPERLINK("https://www.crowdgames.ru/collection/shop/product/taynaya-vlast-vsemirnyy-zagovor", "Тайная власть. Всемирный заговор (Дополнение)")</f>
        <v>Тайная власть. Всемирный заговор (Дополнение)</v>
      </c>
      <c r="B89" s="5" t="s">
        <v>18</v>
      </c>
      <c r="C89" s="6">
        <v>950</v>
      </c>
      <c r="D89" s="17">
        <f t="shared" si="26"/>
        <v>950</v>
      </c>
      <c r="E89" s="7"/>
      <c r="F89" s="6">
        <f>C89*E89</f>
        <v>0</v>
      </c>
      <c r="G89" s="12">
        <f>E89*D89</f>
        <v>0</v>
      </c>
      <c r="I89" s="21"/>
    </row>
    <row r="90" spans="1:10" s="24" customFormat="1" ht="30" customHeight="1">
      <c r="A90" s="66" t="str">
        <f>HYPERLINK("https://www.crowdgames.ru/collection/familyary-semeynye-tayny", "Фамильяры. Семейные тайны")</f>
        <v>Фамильяры. Семейные тайны</v>
      </c>
      <c r="B90" s="5" t="s">
        <v>18</v>
      </c>
      <c r="C90" s="6">
        <v>7990</v>
      </c>
      <c r="D90" s="17">
        <f t="shared" si="26"/>
        <v>7990</v>
      </c>
      <c r="E90" s="18"/>
      <c r="F90" s="8">
        <f t="shared" ref="F90:F104" si="31">C90*E90</f>
        <v>0</v>
      </c>
      <c r="G90" s="12">
        <f t="shared" ref="G90:G104" si="32">E90*D90</f>
        <v>0</v>
      </c>
      <c r="I90" s="21"/>
    </row>
    <row r="91" spans="1:10" s="24" customFormat="1" ht="30" customHeight="1">
      <c r="A91" s="66" t="str">
        <f>HYPERLINK("https://www.crowdgames.ru/collection/hellboy", "Хеллбой")</f>
        <v>Хеллбой</v>
      </c>
      <c r="B91" s="5" t="s">
        <v>18</v>
      </c>
      <c r="C91" s="6">
        <v>7490</v>
      </c>
      <c r="D91" s="17">
        <f t="shared" si="26"/>
        <v>7490</v>
      </c>
      <c r="E91" s="7"/>
      <c r="F91" s="6">
        <f t="shared" si="31"/>
        <v>0</v>
      </c>
      <c r="G91" s="12">
        <f t="shared" si="32"/>
        <v>0</v>
      </c>
      <c r="I91" s="21"/>
    </row>
    <row r="92" spans="1:10" ht="30" customHeight="1">
      <c r="A92" s="67" t="str">
        <f>HYPERLINK("https://www.crowdgames.ru/collection/hellboy-arhivy-brpd", "Хеллбой. Архивы БРПД")</f>
        <v>Хеллбой. Архивы БРПД</v>
      </c>
      <c r="B92" s="5" t="s">
        <v>18</v>
      </c>
      <c r="C92" s="6">
        <v>5990</v>
      </c>
      <c r="D92" s="17">
        <f t="shared" ref="D92:D97" si="33">C92*(1-$C$106)</f>
        <v>5990</v>
      </c>
      <c r="E92" s="18"/>
      <c r="F92" s="8">
        <f t="shared" si="31"/>
        <v>0</v>
      </c>
      <c r="G92" s="12">
        <f t="shared" si="32"/>
        <v>0</v>
      </c>
      <c r="I92" s="25"/>
    </row>
    <row r="93" spans="1:10" ht="30" customHeight="1">
      <c r="A93" s="67" t="str">
        <f>HYPERLINK("https://www.crowdgames.ru/collection/hellboy-arhivy-brpd", "Хеллбой. Крампус")</f>
        <v>Хеллбой. Крампус</v>
      </c>
      <c r="B93" s="5" t="s">
        <v>18</v>
      </c>
      <c r="C93" s="6">
        <v>5990</v>
      </c>
      <c r="D93" s="17">
        <f t="shared" si="33"/>
        <v>5990</v>
      </c>
      <c r="E93" s="18"/>
      <c r="F93" s="8">
        <f t="shared" si="31"/>
        <v>0</v>
      </c>
      <c r="G93" s="12">
        <f t="shared" si="32"/>
        <v>0</v>
      </c>
      <c r="I93" s="25"/>
    </row>
    <row r="94" spans="1:10" ht="30" customHeight="1">
      <c r="A94" s="67" t="str">
        <f>HYPERLINK("https://www.crowdgames.ru/collection/hellboy-arhivy-brpd", "Хеллбой. Нимуэ, кровавая королева")</f>
        <v>Хеллбой. Нимуэ, кровавая королева</v>
      </c>
      <c r="B94" s="5" t="s">
        <v>18</v>
      </c>
      <c r="C94" s="6">
        <v>3490</v>
      </c>
      <c r="D94" s="17">
        <f t="shared" si="33"/>
        <v>3490</v>
      </c>
      <c r="E94" s="18"/>
      <c r="F94" s="8">
        <f t="shared" si="31"/>
        <v>0</v>
      </c>
      <c r="G94" s="12">
        <f t="shared" si="32"/>
        <v>0</v>
      </c>
      <c r="I94" s="25"/>
    </row>
    <row r="95" spans="1:10" ht="30" customHeight="1">
      <c r="A95" s="67" t="str">
        <f>HYPERLINK("https://www.crowdgames.ru/collection/hellboy-arhivy-brpd", "Хеллбой. Баба-Яга")</f>
        <v>Хеллбой. Баба-Яга</v>
      </c>
      <c r="B95" s="5" t="s">
        <v>18</v>
      </c>
      <c r="C95" s="6">
        <v>3490</v>
      </c>
      <c r="D95" s="17">
        <f t="shared" si="33"/>
        <v>3490</v>
      </c>
      <c r="E95" s="18"/>
      <c r="F95" s="8">
        <f t="shared" si="31"/>
        <v>0</v>
      </c>
      <c r="G95" s="12">
        <f t="shared" si="32"/>
        <v>0</v>
      </c>
      <c r="I95" s="25"/>
    </row>
    <row r="96" spans="1:10" ht="30" customHeight="1">
      <c r="A96" s="67" t="str">
        <f>HYPERLINK("https://www.crowdgames.ru/collection/hellboy-arhivy-brpd", "Хеллбой. Геката")</f>
        <v>Хеллбой. Геката</v>
      </c>
      <c r="B96" s="5" t="s">
        <v>18</v>
      </c>
      <c r="C96" s="6">
        <v>3490</v>
      </c>
      <c r="D96" s="17">
        <f t="shared" si="33"/>
        <v>3490</v>
      </c>
      <c r="E96" s="18"/>
      <c r="F96" s="8">
        <f t="shared" si="31"/>
        <v>0</v>
      </c>
      <c r="G96" s="12">
        <f t="shared" si="32"/>
        <v>0</v>
      </c>
      <c r="I96" s="25"/>
    </row>
    <row r="97" spans="1:10" ht="30" customHeight="1">
      <c r="A97" s="67" t="str">
        <f>HYPERLINK("https://www.crowdgames.ru/collection/hellboy-arhivy-brpd", "Хеллбой. Лобстер")</f>
        <v>Хеллбой. Лобстер</v>
      </c>
      <c r="B97" s="5" t="s">
        <v>18</v>
      </c>
      <c r="C97" s="6">
        <v>3490</v>
      </c>
      <c r="D97" s="17">
        <f t="shared" si="33"/>
        <v>3490</v>
      </c>
      <c r="E97" s="18"/>
      <c r="F97" s="8">
        <f t="shared" si="31"/>
        <v>0</v>
      </c>
      <c r="G97" s="12">
        <f t="shared" si="32"/>
        <v>0</v>
      </c>
      <c r="I97" s="25"/>
    </row>
    <row r="98" spans="1:10" ht="30" customHeight="1">
      <c r="A98" s="67" t="str">
        <f>HYPERLINK("https://www.crowdgames.ru/collection/tsirk-tryoh-aren", "Цирк трёх арен")</f>
        <v>Цирк трёх арен</v>
      </c>
      <c r="B98" s="5" t="s">
        <v>18</v>
      </c>
      <c r="C98" s="6">
        <v>3750</v>
      </c>
      <c r="D98" s="17">
        <f>C98*(1-$C$106)</f>
        <v>3750</v>
      </c>
      <c r="E98" s="18"/>
      <c r="F98" s="8">
        <f t="shared" si="31"/>
        <v>0</v>
      </c>
      <c r="G98" s="12">
        <f t="shared" si="32"/>
        <v>0</v>
      </c>
      <c r="I98" s="25"/>
    </row>
    <row r="99" spans="1:10" s="24" customFormat="1" ht="30" customHeight="1">
      <c r="A99" s="66" t="str">
        <f>HYPERLINK("https://www.crowdgames.ru/collection/chetyre-zelya", "Четыре зелья")</f>
        <v>Четыре зелья</v>
      </c>
      <c r="B99" s="5" t="s">
        <v>18</v>
      </c>
      <c r="C99" s="6">
        <v>2990</v>
      </c>
      <c r="D99" s="17">
        <f>C99*(1-$C$106)</f>
        <v>2990</v>
      </c>
      <c r="E99" s="7"/>
      <c r="F99" s="6">
        <f t="shared" si="31"/>
        <v>0</v>
      </c>
      <c r="G99" s="12">
        <f t="shared" si="32"/>
        <v>0</v>
      </c>
      <c r="H99" s="3"/>
      <c r="I99" s="26"/>
      <c r="J99" s="26"/>
    </row>
    <row r="100" spans="1:10" s="24" customFormat="1" ht="30" customHeight="1">
      <c r="A100" s="66" t="str">
        <f>HYPERLINK("https://www.crowdgames.ru/collection/chornaya-sonata","Чёрная соната")</f>
        <v>Чёрная соната</v>
      </c>
      <c r="B100" s="5" t="s">
        <v>18</v>
      </c>
      <c r="C100" s="6">
        <v>1490</v>
      </c>
      <c r="D100" s="17">
        <f t="shared" ref="D100:D105" si="34">C100*(1-$C$106)</f>
        <v>1490</v>
      </c>
      <c r="E100" s="7"/>
      <c r="F100" s="6">
        <f t="shared" si="31"/>
        <v>0</v>
      </c>
      <c r="G100" s="12">
        <f t="shared" si="32"/>
        <v>0</v>
      </c>
      <c r="H100" s="3"/>
      <c r="I100" s="26"/>
      <c r="J100" s="26"/>
    </row>
    <row r="101" spans="1:10" ht="30" customHeight="1">
      <c r="A101" s="66" t="str">
        <f>HYPERLINK("https://www.crowdgames.ru/collection/chyornaya-sonata-prekrasnyy-yunosha", "Чёрная соната. Прекрасный юноша (Дополнение)")</f>
        <v>Чёрная соната. Прекрасный юноша (Дополнение)</v>
      </c>
      <c r="B101" s="5" t="s">
        <v>18</v>
      </c>
      <c r="C101" s="6">
        <v>740</v>
      </c>
      <c r="D101" s="17">
        <f t="shared" si="34"/>
        <v>740</v>
      </c>
      <c r="E101" s="7"/>
      <c r="F101" s="6">
        <f t="shared" si="31"/>
        <v>0</v>
      </c>
      <c r="G101" s="12">
        <f t="shared" si="32"/>
        <v>0</v>
      </c>
      <c r="I101" s="21"/>
    </row>
    <row r="102" spans="1:10" ht="30" customHeight="1">
      <c r="A102" s="67" t="str">
        <f>HYPERLINK("https://www.crowdgames.ru/collection/shop/product/chuma", "Чума")</f>
        <v>Чума</v>
      </c>
      <c r="B102" s="5" t="s">
        <v>18</v>
      </c>
      <c r="C102" s="6">
        <v>7990</v>
      </c>
      <c r="D102" s="17">
        <f t="shared" si="34"/>
        <v>7990</v>
      </c>
      <c r="E102" s="18"/>
      <c r="F102" s="8">
        <f t="shared" si="31"/>
        <v>0</v>
      </c>
      <c r="G102" s="12">
        <f t="shared" si="32"/>
        <v>0</v>
      </c>
      <c r="I102" s="21"/>
    </row>
    <row r="103" spans="1:10" ht="30" customHeight="1">
      <c r="A103" s="67" t="str">
        <f>HYPERLINK("https://www.crowdgames.ru/collection/shop/product/chuma-deluxe-pack", "Чума. Набор улучшений (Дополнение)")</f>
        <v>Чума. Набор улучшений (Дополнение)</v>
      </c>
      <c r="B103" s="5" t="s">
        <v>18</v>
      </c>
      <c r="C103" s="6">
        <v>2990</v>
      </c>
      <c r="D103" s="17">
        <f t="shared" si="34"/>
        <v>2990</v>
      </c>
      <c r="E103" s="18"/>
      <c r="F103" s="8">
        <f t="shared" si="31"/>
        <v>0</v>
      </c>
      <c r="G103" s="12">
        <f t="shared" si="32"/>
        <v>0</v>
      </c>
      <c r="I103" s="21"/>
    </row>
    <row r="104" spans="1:10" ht="30" customHeight="1">
      <c r="A104" s="67" t="str">
        <f>HYPERLINK("https://www.crowdgames.ru/collection/shop/product/chuma-nabor-kart-sobytiy", "Чума. Дорожные события (Дополнение)")</f>
        <v>Чума. Дорожные события (Дополнение)</v>
      </c>
      <c r="B104" s="5" t="s">
        <v>18</v>
      </c>
      <c r="C104" s="6">
        <v>1490</v>
      </c>
      <c r="D104" s="17">
        <f t="shared" si="34"/>
        <v>1490</v>
      </c>
      <c r="E104" s="18"/>
      <c r="F104" s="8">
        <f t="shared" si="31"/>
        <v>0</v>
      </c>
      <c r="G104" s="12">
        <f t="shared" si="32"/>
        <v>0</v>
      </c>
      <c r="I104" s="21"/>
    </row>
    <row r="105" spans="1:10" ht="30" customHeight="1">
      <c r="A105" s="66" t="str">
        <f>HYPERLINK("https://www.crowdgames.ru/collection/enigma", "Энигма. Код Хаоса")</f>
        <v>Энигма. Код Хаоса</v>
      </c>
      <c r="B105" s="5" t="s">
        <v>18</v>
      </c>
      <c r="C105" s="6">
        <v>1490</v>
      </c>
      <c r="D105" s="17">
        <f t="shared" si="34"/>
        <v>1490</v>
      </c>
      <c r="E105" s="18"/>
      <c r="F105" s="8">
        <f t="shared" ref="F105" si="35">C105*E105</f>
        <v>0</v>
      </c>
      <c r="G105" s="12">
        <f t="shared" ref="G105" si="36">E105*D105</f>
        <v>0</v>
      </c>
    </row>
    <row r="106" spans="1:10" ht="30" customHeight="1">
      <c r="A106" s="27" t="s">
        <v>10</v>
      </c>
      <c r="B106" s="2"/>
      <c r="C106" s="28">
        <f>IF(($F$106*0.6+$F$114*0.4+$G$134+$F$137*0.6)&gt;=90000, 0.4, IF(($F$106*0.625+$F$114*0.45+$F$137*0.625+$G$134)&gt;=60000, 0.375, IF(($F$106*0.65+$F$114*0.5+$F$137*0.65+$G$134)&gt;=45000, 0.35,IF(($F$106*0.675+$F$114*0.55+$F$137*0.675+$G$134)&gt;=32500, 0.325,IF(($F$106*0.7+$F$114*0.6+$F$137*0.7+$G$134)&gt;=20000, 0.3,IF(($F$106*0.725+$F$114*0.65+$F$137*0.725+$G$134)&gt;=15000, 0.3,IF(($F$106*0.75+$F$114*0.7+$F$137*0.75+$G$134)&gt;=10000, 0.3, 0)))))))</f>
        <v>0</v>
      </c>
      <c r="D106" s="29"/>
      <c r="E106" s="4" t="s">
        <v>5</v>
      </c>
      <c r="F106" s="1">
        <f>SUM(F10:F105)</f>
        <v>0</v>
      </c>
      <c r="G106" s="10">
        <f>SUM(G10:G105)</f>
        <v>0</v>
      </c>
      <c r="I106" s="25"/>
    </row>
    <row r="107" spans="1:10" s="24" customFormat="1" ht="30" customHeight="1">
      <c r="A107" s="30" t="s">
        <v>23</v>
      </c>
      <c r="B107" s="2"/>
      <c r="C107" s="31" t="s">
        <v>1</v>
      </c>
      <c r="D107" s="32" t="s">
        <v>16</v>
      </c>
      <c r="E107" s="1" t="s">
        <v>2</v>
      </c>
      <c r="F107" s="1" t="s">
        <v>3</v>
      </c>
      <c r="G107" s="11" t="s">
        <v>4</v>
      </c>
      <c r="I107" s="21"/>
    </row>
    <row r="108" spans="1:10" ht="30" customHeight="1">
      <c r="A108" s="9" t="str">
        <f>HYPERLINK("https://www.crowdgames.ru/collection/shop/product/galerist", "Галерист")</f>
        <v>Галерист</v>
      </c>
      <c r="B108" s="5" t="s">
        <v>18</v>
      </c>
      <c r="C108" s="6">
        <v>10990</v>
      </c>
      <c r="D108" s="17">
        <v>6500</v>
      </c>
      <c r="E108" s="7"/>
      <c r="F108" s="6">
        <f>C108*E108</f>
        <v>0</v>
      </c>
      <c r="G108" s="12">
        <f>E108*D108</f>
        <v>0</v>
      </c>
    </row>
    <row r="109" spans="1:10" s="24" customFormat="1" ht="30" customHeight="1">
      <c r="A109" s="9" t="str">
        <f>HYPERLINK("https://www.crowdgames.ru/collection/caylus-1303", "Келюс 1303")</f>
        <v>Келюс 1303</v>
      </c>
      <c r="B109" s="5" t="s">
        <v>18</v>
      </c>
      <c r="C109" s="6">
        <v>3990</v>
      </c>
      <c r="D109" s="17">
        <v>1590</v>
      </c>
      <c r="E109" s="7"/>
      <c r="F109" s="6">
        <f t="shared" ref="F109:F111" si="37">C109*E109</f>
        <v>0</v>
      </c>
      <c r="G109" s="12">
        <f t="shared" ref="G109:G111" si="38">E109*D109</f>
        <v>0</v>
      </c>
      <c r="I109" s="21"/>
    </row>
    <row r="110" spans="1:10" ht="30" customHeight="1">
      <c r="A110" s="9" t="str">
        <f>HYPERLINK("https://www.crowdgames.ru/collection/tauantinsyu", "Тауантинсуйу. Империя инков")</f>
        <v>Тауантинсуйу. Империя инков</v>
      </c>
      <c r="B110" s="5" t="s">
        <v>20</v>
      </c>
      <c r="C110" s="6">
        <v>4490</v>
      </c>
      <c r="D110" s="17">
        <v>1990</v>
      </c>
      <c r="E110" s="7"/>
      <c r="F110" s="6">
        <f t="shared" si="37"/>
        <v>0</v>
      </c>
      <c r="G110" s="12">
        <f t="shared" si="38"/>
        <v>0</v>
      </c>
    </row>
    <row r="111" spans="1:10" ht="30" customHeight="1">
      <c r="A111" s="9" t="str">
        <f>HYPERLINK("https://www.crowdgames.ru/collection/federatsiya", "Федерация. Делюкс-издание")</f>
        <v>Федерация. Делюкс-издание</v>
      </c>
      <c r="B111" s="5" t="s">
        <v>18</v>
      </c>
      <c r="C111" s="6">
        <v>7990</v>
      </c>
      <c r="D111" s="17">
        <v>4590</v>
      </c>
      <c r="E111" s="7"/>
      <c r="F111" s="6">
        <f t="shared" si="37"/>
        <v>0</v>
      </c>
      <c r="G111" s="12">
        <f t="shared" si="38"/>
        <v>0</v>
      </c>
    </row>
    <row r="112" spans="1:10" ht="30" customHeight="1">
      <c r="A112" s="9" t="str">
        <f>HYPERLINK("https://www.crowdgames.ru/collection/fonariki-prazdnik-urozhaya","Фонарики. Праздник урожая")</f>
        <v>Фонарики. Праздник урожая</v>
      </c>
      <c r="B112" s="5" t="s">
        <v>18</v>
      </c>
      <c r="C112" s="6">
        <v>1190</v>
      </c>
      <c r="D112" s="17">
        <v>600</v>
      </c>
      <c r="E112" s="7"/>
      <c r="F112" s="6">
        <f>C112*E112</f>
        <v>0</v>
      </c>
      <c r="G112" s="12">
        <f>E112*D112</f>
        <v>0</v>
      </c>
    </row>
    <row r="113" spans="1:24" s="33" customFormat="1" ht="30" hidden="1" customHeight="1">
      <c r="A113" s="9" t="str">
        <f>HYPERLINK("https://www.crowdgames.ru/collection/fort","Форт")</f>
        <v>Форт</v>
      </c>
      <c r="B113" s="5" t="s">
        <v>18</v>
      </c>
      <c r="C113" s="6">
        <v>2290</v>
      </c>
      <c r="D113" s="17">
        <v>1450</v>
      </c>
      <c r="E113" s="7"/>
      <c r="F113" s="6">
        <f>C113*E113</f>
        <v>0</v>
      </c>
      <c r="G113" s="12">
        <f>E113*D113</f>
        <v>0</v>
      </c>
    </row>
    <row r="114" spans="1:24" s="26" customFormat="1" ht="30" hidden="1" customHeight="1">
      <c r="A114" s="27" t="s">
        <v>10</v>
      </c>
      <c r="B114" s="2"/>
      <c r="C114" s="28">
        <f>IF(($F$106*0.6+$F$114*0.4+$F$137*0.6+$G$134)&gt;=90000, 0.6, IF(($F$106*0.625+$F$114*0.45+$F$137*0.625+$G$134)&gt;=60000, 0.55, IF(($F$106*0.65+$F$114*0.5+$F$137*0.65+$G$134)&gt;=45000, 0.5,IF(($F$106*0.675+$F$114*0.55+$G$134+$F$137*0.675)&gt;=32500, 0.45,IF(($F$106*0.7+$F$114*0.6+$F$137*0.7+$G$134)&gt;=20000, 0.4,IF(($F$106*0.725+$F$114*0.65+$F$137*0.725+$G$134)&gt;=15000, 0.4,IF(($F$106*0.75+$F$114*0.7+$F$137*0.75+$G$134)&gt;=10000, 0.4, 0)))))))</f>
        <v>0</v>
      </c>
      <c r="D114" s="29"/>
      <c r="E114" s="4" t="s">
        <v>5</v>
      </c>
      <c r="F114" s="1">
        <f>SUM(F108:F113)</f>
        <v>0</v>
      </c>
      <c r="G114" s="10">
        <f>SUM(G108:G113)</f>
        <v>0</v>
      </c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</row>
    <row r="115" spans="1:24" s="26" customFormat="1" ht="30" hidden="1" customHeight="1">
      <c r="A115" s="30" t="s">
        <v>25</v>
      </c>
      <c r="B115" s="2"/>
      <c r="C115" s="31" t="s">
        <v>1</v>
      </c>
      <c r="D115" s="32" t="s">
        <v>16</v>
      </c>
      <c r="E115" s="1" t="s">
        <v>2</v>
      </c>
      <c r="F115" s="1" t="s">
        <v>3</v>
      </c>
      <c r="G115" s="11" t="s">
        <v>4</v>
      </c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</row>
    <row r="116" spans="1:24" s="26" customFormat="1" ht="30" hidden="1" customHeight="1">
      <c r="A116" s="16" t="str">
        <f>HYPERLINK("https://www.crowdgames.ru/collection/shop/product/protektory-matovye-chainmail-premium-63%D1%8588-100-sht", "Протекторы 63,5 × 88 матовые Chainmail Premium ")</f>
        <v xml:space="preserve">Протекторы 63,5 × 88 матовые Chainmail Premium </v>
      </c>
      <c r="B116" s="34" t="s">
        <v>18</v>
      </c>
      <c r="C116" s="35">
        <v>690</v>
      </c>
      <c r="D116" s="34">
        <v>375</v>
      </c>
      <c r="E116" s="7"/>
      <c r="F116" s="6">
        <f t="shared" ref="F116:F133" si="39">C116*E116</f>
        <v>0</v>
      </c>
      <c r="G116" s="12">
        <f t="shared" ref="G116:G133" si="40">E116*D116</f>
        <v>0</v>
      </c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</row>
    <row r="117" spans="1:24" s="26" customFormat="1" ht="30" hidden="1" customHeight="1">
      <c r="A117" s="16" t="str">
        <f>HYPERLINK("https://www.crowdgames.ru/collection/shop/product/raznotsvetnye-kristally-dlya-nastolnyh-igr", "Разноцветные кристаллы для настольных игр")</f>
        <v>Разноцветные кристаллы для настольных игр</v>
      </c>
      <c r="B117" s="34" t="s">
        <v>18</v>
      </c>
      <c r="C117" s="35">
        <v>340</v>
      </c>
      <c r="D117" s="34">
        <v>200</v>
      </c>
      <c r="E117" s="7"/>
      <c r="F117" s="6">
        <f t="shared" si="39"/>
        <v>0</v>
      </c>
      <c r="G117" s="12">
        <f t="shared" si="40"/>
        <v>0</v>
      </c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</row>
    <row r="118" spans="1:24" s="26" customFormat="1" ht="30" hidden="1" customHeight="1">
      <c r="A118" s="13" t="str">
        <f>HYPERLINK("https://www.crowdgames.ru/collection/shop/product/protektory-crowd-games-dlya-kart-41-63-mm","Протекторы 41 х 63 (Crowd Games)")</f>
        <v>Протекторы 41 х 63 (Crowd Games)</v>
      </c>
      <c r="B118" s="37" t="s">
        <v>26</v>
      </c>
      <c r="C118" s="38">
        <v>119</v>
      </c>
      <c r="D118" s="37">
        <v>65</v>
      </c>
      <c r="E118" s="7"/>
      <c r="F118" s="6">
        <f t="shared" si="39"/>
        <v>0</v>
      </c>
      <c r="G118" s="12">
        <f t="shared" si="40"/>
        <v>0</v>
      </c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</row>
    <row r="119" spans="1:24" s="26" customFormat="1" ht="30" hidden="1" customHeight="1">
      <c r="A119" s="13" t="str">
        <f>HYPERLINK("https://www.crowdgames.ru/collection/shop/product/protektory-CG-premium-41x63","Протекторы 41 х 63 Premium (Crowd Games)")</f>
        <v>Протекторы 41 х 63 Premium (Crowd Games)</v>
      </c>
      <c r="B119" s="37" t="s">
        <v>26</v>
      </c>
      <c r="C119" s="38">
        <v>119</v>
      </c>
      <c r="D119" s="37">
        <v>65</v>
      </c>
      <c r="E119" s="7"/>
      <c r="F119" s="6">
        <f t="shared" si="39"/>
        <v>0</v>
      </c>
      <c r="G119" s="12">
        <f t="shared" si="40"/>
        <v>0</v>
      </c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</row>
    <row r="120" spans="1:24" s="26" customFormat="1" ht="30" hidden="1" customHeight="1">
      <c r="A120" s="13" t="str">
        <f>HYPERLINK("https://www.crowdgames.ru/collection/shop/product/protektory-crowd-games-dlya-kart-44-68-mm","Протекторы 44 х 67 (Crowd Games)")</f>
        <v>Протекторы 44 х 67 (Crowd Games)</v>
      </c>
      <c r="B120" s="37" t="s">
        <v>26</v>
      </c>
      <c r="C120" s="38">
        <v>119</v>
      </c>
      <c r="D120" s="37">
        <v>65</v>
      </c>
      <c r="E120" s="7"/>
      <c r="F120" s="6">
        <f t="shared" si="39"/>
        <v>0</v>
      </c>
      <c r="G120" s="12">
        <f t="shared" si="40"/>
        <v>0</v>
      </c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</row>
    <row r="121" spans="1:24" s="26" customFormat="1" ht="30" hidden="1" customHeight="1">
      <c r="A121" s="13" t="str">
        <f>HYPERLINK("https://www.crowdgames.ru/collection/shop/product/protektory-CG-premium-44x68","Протекторы 44 х 67 Premium (Crowd Games)")</f>
        <v>Протекторы 44 х 67 Premium (Crowd Games)</v>
      </c>
      <c r="B121" s="37" t="s">
        <v>26</v>
      </c>
      <c r="C121" s="38">
        <v>119</v>
      </c>
      <c r="D121" s="37">
        <v>65</v>
      </c>
      <c r="E121" s="7"/>
      <c r="F121" s="6">
        <f t="shared" si="39"/>
        <v>0</v>
      </c>
      <c r="G121" s="12">
        <f t="shared" si="40"/>
        <v>0</v>
      </c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</row>
    <row r="122" spans="1:24" s="26" customFormat="1" ht="30" hidden="1" customHeight="1">
      <c r="A122" s="13" t="str">
        <f>HYPERLINK("https://www.crowdgames.ru/collection/shop/product/protektory-crowd-games-dlya-kart-56-x-87-mm","Протекторы 56 х 87 (Crowd Games)")</f>
        <v>Протекторы 56 х 87 (Crowd Games)</v>
      </c>
      <c r="B122" s="37" t="s">
        <v>26</v>
      </c>
      <c r="C122" s="38">
        <v>119</v>
      </c>
      <c r="D122" s="37">
        <v>65</v>
      </c>
      <c r="E122" s="7"/>
      <c r="F122" s="6">
        <f t="shared" si="39"/>
        <v>0</v>
      </c>
      <c r="G122" s="12">
        <f t="shared" si="40"/>
        <v>0</v>
      </c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</row>
    <row r="123" spans="1:24" s="26" customFormat="1" ht="30" hidden="1" customHeight="1">
      <c r="A123" s="13" t="str">
        <f>HYPERLINK("https://www.crowdgames.ru/collection/shop/product/protektory-crowd-games-premium-dlya-kart-56-x-87-mm","Протекторы 56 х 87 Premium (Crowd Games)")</f>
        <v>Протекторы 56 х 87 Premium (Crowd Games)</v>
      </c>
      <c r="B123" s="37" t="s">
        <v>26</v>
      </c>
      <c r="C123" s="38">
        <v>119</v>
      </c>
      <c r="D123" s="37">
        <v>65</v>
      </c>
      <c r="E123" s="7"/>
      <c r="F123" s="6">
        <f t="shared" si="39"/>
        <v>0</v>
      </c>
      <c r="G123" s="12">
        <f t="shared" si="40"/>
        <v>0</v>
      </c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</row>
    <row r="124" spans="1:24" s="26" customFormat="1" ht="30" hidden="1" customHeight="1">
      <c r="A124" s="13" t="str">
        <f>HYPERLINK("https://www.crowdgames.ru/collection/shop/product/protektory-crowd-games-dlya-kart-575-x-89-mm","Протекторы 57,5 х 89 (Crowd Games)")</f>
        <v>Протекторы 57,5 х 89 (Crowd Games)</v>
      </c>
      <c r="B124" s="37" t="s">
        <v>26</v>
      </c>
      <c r="C124" s="38">
        <v>119</v>
      </c>
      <c r="D124" s="37">
        <v>65</v>
      </c>
      <c r="E124" s="7"/>
      <c r="F124" s="6">
        <f t="shared" si="39"/>
        <v>0</v>
      </c>
      <c r="G124" s="12">
        <f t="shared" si="40"/>
        <v>0</v>
      </c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</row>
    <row r="125" spans="1:24" s="26" customFormat="1" ht="30" hidden="1" customHeight="1">
      <c r="A125" s="13" t="str">
        <f>HYPERLINK("https://www.crowdgames.ru/collection/shop/product/protektory-crowd-games-premium-dlya-kart-575-x-89-mm","Протекторы 57,5 х 89 Premium (Crowd Games)")</f>
        <v>Протекторы 57,5 х 89 Premium (Crowd Games)</v>
      </c>
      <c r="B125" s="37" t="s">
        <v>26</v>
      </c>
      <c r="C125" s="38">
        <v>119</v>
      </c>
      <c r="D125" s="37">
        <v>65</v>
      </c>
      <c r="E125" s="7"/>
      <c r="F125" s="6">
        <f t="shared" si="39"/>
        <v>0</v>
      </c>
      <c r="G125" s="12">
        <f t="shared" si="40"/>
        <v>0</v>
      </c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</row>
    <row r="126" spans="1:24" ht="30" hidden="1" customHeight="1">
      <c r="A126" s="13" t="str">
        <f>HYPERLINK("https://www.crowdgames.ru/collection/shop/product/protektory-crowd-games-dlya-kart-59-x-92-mm","Протекторы 59 х 92 (Crowd Games)")</f>
        <v>Протекторы 59 х 92 (Crowd Games)</v>
      </c>
      <c r="B126" s="37" t="s">
        <v>26</v>
      </c>
      <c r="C126" s="38">
        <v>119</v>
      </c>
      <c r="D126" s="37">
        <v>65</v>
      </c>
      <c r="E126" s="7"/>
      <c r="F126" s="6">
        <f t="shared" si="39"/>
        <v>0</v>
      </c>
      <c r="G126" s="12">
        <f t="shared" si="40"/>
        <v>0</v>
      </c>
    </row>
    <row r="127" spans="1:24" ht="30" hidden="1" customHeight="1">
      <c r="A127" s="13" t="str">
        <f>HYPERLINK("https://www.crowdgames.ru/collection/shop/product/protektory-CG-premium-59x92","Протекторы 59 х 92 Premium (Crowd Games)")</f>
        <v>Протекторы 59 х 92 Premium (Crowd Games)</v>
      </c>
      <c r="B127" s="37" t="s">
        <v>26</v>
      </c>
      <c r="C127" s="38">
        <v>119</v>
      </c>
      <c r="D127" s="37">
        <v>65</v>
      </c>
      <c r="E127" s="7"/>
      <c r="F127" s="6">
        <f t="shared" si="39"/>
        <v>0</v>
      </c>
      <c r="G127" s="12">
        <f t="shared" si="40"/>
        <v>0</v>
      </c>
    </row>
    <row r="128" spans="1:24" ht="30" hidden="1" customHeight="1">
      <c r="A128" s="13" t="str">
        <f>HYPERLINK("https://www.crowdgames.ru/collection/shop/product/protektory-CG-premium-63x88","Протекторы 63 х 88 Premium (Crowd Games)")</f>
        <v>Протекторы 63 х 88 Premium (Crowd Games)</v>
      </c>
      <c r="B128" s="37" t="s">
        <v>26</v>
      </c>
      <c r="C128" s="38">
        <v>119</v>
      </c>
      <c r="D128" s="37">
        <v>65</v>
      </c>
      <c r="E128" s="7"/>
      <c r="F128" s="6">
        <f t="shared" si="39"/>
        <v>0</v>
      </c>
      <c r="G128" s="12">
        <f t="shared" si="40"/>
        <v>0</v>
      </c>
    </row>
    <row r="129" spans="1:7" ht="30" hidden="1" customHeight="1">
      <c r="A129" s="13" t="str">
        <f>HYPERLINK("https://www.crowdgames.ru/collection/shop/product/protektory-crowd-games-dlya-kart-70-x-100-mm","Протекторы 70 х 110 (Crowd Games)")</f>
        <v>Протекторы 70 х 110 (Crowd Games)</v>
      </c>
      <c r="B129" s="37" t="s">
        <v>26</v>
      </c>
      <c r="C129" s="38">
        <v>149</v>
      </c>
      <c r="D129" s="37">
        <v>80</v>
      </c>
      <c r="E129" s="7"/>
      <c r="F129" s="6">
        <f t="shared" si="39"/>
        <v>0</v>
      </c>
      <c r="G129" s="12">
        <f t="shared" si="40"/>
        <v>0</v>
      </c>
    </row>
    <row r="130" spans="1:7" ht="30" hidden="1" customHeight="1">
      <c r="A130" s="13" t="str">
        <f>HYPERLINK("https://www.crowdgames.ru/collection/shop/product/protektory-crowd-games-dlya-kart-70-x-120-mm","Протекторы 70 х 120 (Crowd Games)")</f>
        <v>Протекторы 70 х 120 (Crowd Games)</v>
      </c>
      <c r="B130" s="37" t="s">
        <v>26</v>
      </c>
      <c r="C130" s="38">
        <v>149</v>
      </c>
      <c r="D130" s="37">
        <v>80</v>
      </c>
      <c r="E130" s="7"/>
      <c r="F130" s="6">
        <f t="shared" si="39"/>
        <v>0</v>
      </c>
      <c r="G130" s="12">
        <f t="shared" si="40"/>
        <v>0</v>
      </c>
    </row>
    <row r="131" spans="1:7" s="33" customFormat="1" ht="30" hidden="1" customHeight="1">
      <c r="A131" s="13" t="str">
        <f>HYPERLINK("https://www.crowdgames.ru/collection/shop/product/protektory-crowd-games-premium-dlya-kart-70-x-120-mm","Протекторы 70 х 120 Premium (Crowd Games)")</f>
        <v>Протекторы 70 х 120 Premium (Crowd Games)</v>
      </c>
      <c r="B131" s="37" t="s">
        <v>26</v>
      </c>
      <c r="C131" s="38">
        <v>149</v>
      </c>
      <c r="D131" s="37">
        <v>80</v>
      </c>
      <c r="E131" s="7"/>
      <c r="F131" s="6">
        <f t="shared" si="39"/>
        <v>0</v>
      </c>
      <c r="G131" s="12">
        <f t="shared" si="40"/>
        <v>0</v>
      </c>
    </row>
    <row r="132" spans="1:7" ht="30" hidden="1" customHeight="1">
      <c r="A132" s="13" t="str">
        <f>HYPERLINK("https://www.crowdgames.ru/collection/shop/product/protektory-crowd-games-dlya-kart-80-x-120-mm","Протекторы 80 х 120 (Crowd Games)")</f>
        <v>Протекторы 80 х 120 (Crowd Games)</v>
      </c>
      <c r="B132" s="37" t="s">
        <v>26</v>
      </c>
      <c r="C132" s="38">
        <v>149</v>
      </c>
      <c r="D132" s="37">
        <v>80</v>
      </c>
      <c r="E132" s="7"/>
      <c r="F132" s="6">
        <f t="shared" si="39"/>
        <v>0</v>
      </c>
      <c r="G132" s="12">
        <f t="shared" si="40"/>
        <v>0</v>
      </c>
    </row>
    <row r="133" spans="1:7" ht="30" hidden="1" customHeight="1">
      <c r="A133" s="13" t="str">
        <f>HYPERLINK("https://www.crowdgames.ru/collection/shop/product/protektory-crowd-games-premium-dlya-kart-80-x-120-mm","Протекторы 80 х 120 Premium (Crowd Games)")</f>
        <v>Протекторы 80 х 120 Premium (Crowd Games)</v>
      </c>
      <c r="B133" s="37" t="s">
        <v>26</v>
      </c>
      <c r="C133" s="38">
        <v>149</v>
      </c>
      <c r="D133" s="37">
        <v>80</v>
      </c>
      <c r="E133" s="7"/>
      <c r="F133" s="6">
        <f t="shared" si="39"/>
        <v>0</v>
      </c>
      <c r="G133" s="12">
        <f t="shared" si="40"/>
        <v>0</v>
      </c>
    </row>
    <row r="134" spans="1:7" ht="19.899999999999999" hidden="1" customHeight="1">
      <c r="A134" s="39" t="s">
        <v>10</v>
      </c>
      <c r="B134" s="4"/>
      <c r="C134" s="40">
        <f>IF(($F$106*0.6+$F$114*0.4+$G$134+$F$137*0.6)&gt;=90000, 0.4, IF(($F$106*0.625+$F$114*0.45+$F$137*0.625+$G$134)&gt;=60000, 0.375, IF(($F$106*0.65+$F$114*0.5+$F$137*0.65+$G$134)&gt;=45000, 0.35,IF(($F$106*0.675+$F$114*0.55+$F$137*0.675+$G$134)&gt;=32500, 0.325,IF(($F$106*0.7+$F$114*0.6+$F$137*0.7+$G$134)&gt;=20000, 0.3,IF(($F$106*0.725+$F$114*0.65+$F$137*0.725+$G$134)&gt;=15000, 0.3,IF(($F$106*0.75+$F$114*0.7+$F$137*0.75+$G$134)&gt;=10000, 0.3, 0)))))))</f>
        <v>0</v>
      </c>
      <c r="D134" s="29"/>
      <c r="E134" s="4" t="s">
        <v>5</v>
      </c>
      <c r="F134" s="1">
        <f>SUM(F116:F133)</f>
        <v>0</v>
      </c>
      <c r="G134" s="10">
        <f>SUM(G116:G133)</f>
        <v>0</v>
      </c>
    </row>
    <row r="135" spans="1:7" ht="19.899999999999999" hidden="1" customHeight="1">
      <c r="A135" s="41" t="s">
        <v>11</v>
      </c>
      <c r="B135" s="32"/>
      <c r="C135" s="1" t="s">
        <v>1</v>
      </c>
      <c r="D135" s="32" t="s">
        <v>7</v>
      </c>
      <c r="E135" s="1" t="s">
        <v>2</v>
      </c>
      <c r="F135" s="1" t="s">
        <v>3</v>
      </c>
      <c r="G135" s="11" t="s">
        <v>4</v>
      </c>
    </row>
    <row r="136" spans="1:7" ht="30" hidden="1" customHeight="1">
      <c r="A136" s="42"/>
      <c r="B136" s="17"/>
      <c r="C136" s="6"/>
      <c r="D136" s="17"/>
      <c r="E136" s="7"/>
      <c r="F136" s="6"/>
      <c r="G136" s="12"/>
    </row>
    <row r="137" spans="1:7" ht="30" customHeight="1">
      <c r="A137" s="43" t="s">
        <v>10</v>
      </c>
      <c r="B137" s="44"/>
      <c r="C137" s="40">
        <f>IF(($F$106*0.6+$F$114*0.4+$G$134+$F$137*0.6)&gt;=90000, 0.4, IF(($F$106*0.625+$F$114*0.45+$F$137*0.625+$G$134)&gt;=60000, 0.375, IF(($F$106*0.65+$F$114*0.5+$F$137*0.65+$G$134)&gt;=45000, 0.35,IF(($F$106*0.675+$F$114*0.55+$F$137*0.675+$G$134)&gt;=32500, 0.325,IF(($F$106*0.7+$F$114*0.6+$F$137*0.7+$G$134)&gt;=20000, 0.3,IF(($F$106*0.725+$F$114*0.65+$F$137*0.725+$G$134)&gt;=15000, 0.3,IF(($F$106*0.75+$F$114*0.7+$F$137*0.75+$G$134)&gt;=10000, 0.3, 0)))))))</f>
        <v>0</v>
      </c>
      <c r="D137" s="29"/>
      <c r="E137" s="4" t="s">
        <v>5</v>
      </c>
      <c r="F137" s="1">
        <f>SUM(F136:F136)</f>
        <v>0</v>
      </c>
      <c r="G137" s="10">
        <f>SUM(G136:G136)</f>
        <v>0</v>
      </c>
    </row>
    <row r="138" spans="1:7">
      <c r="A138" s="94" t="s">
        <v>12</v>
      </c>
      <c r="B138" s="95"/>
      <c r="C138" s="96"/>
      <c r="D138" s="96"/>
      <c r="E138" s="96"/>
      <c r="F138" s="96"/>
      <c r="G138" s="10">
        <f>$F$106+$F$114+$F$137+$F$134</f>
        <v>0</v>
      </c>
    </row>
    <row r="139" spans="1:7" ht="15.75">
      <c r="A139" s="97" t="s">
        <v>13</v>
      </c>
      <c r="B139" s="98"/>
      <c r="C139" s="99"/>
      <c r="D139" s="99"/>
      <c r="E139" s="99"/>
      <c r="F139" s="45"/>
      <c r="G139" s="46">
        <f>G114+G106+G137+G134</f>
        <v>0</v>
      </c>
    </row>
    <row r="140" spans="1:7" ht="16.5" thickBot="1">
      <c r="A140" s="112" t="s">
        <v>14</v>
      </c>
      <c r="B140" s="113"/>
      <c r="C140" s="114"/>
      <c r="D140" s="114"/>
      <c r="E140" s="114"/>
      <c r="F140" s="47"/>
      <c r="G140" s="48">
        <f>G138-G139</f>
        <v>0</v>
      </c>
    </row>
    <row r="141" spans="1:7">
      <c r="A141" s="115" t="s">
        <v>15</v>
      </c>
      <c r="B141" s="115"/>
      <c r="C141" s="115"/>
      <c r="D141" s="115"/>
      <c r="E141" s="115"/>
      <c r="F141" s="115"/>
      <c r="G141" s="115"/>
    </row>
    <row r="142" spans="1:7">
      <c r="A142" s="115"/>
      <c r="B142" s="115"/>
      <c r="C142" s="115"/>
      <c r="D142" s="115"/>
      <c r="E142" s="115"/>
      <c r="F142" s="115"/>
      <c r="G142" s="115"/>
    </row>
  </sheetData>
  <sheetProtection algorithmName="SHA-512" hashValue="5KxQBLpHeCYz/xyIIcNSllJ4/ETNDMsAyHlbEKUOZDP7oFGEl3kokTUrcebII3kXIwkMbRiOo8ClE8E/eZO1aQ==" saltValue="4DatxTigAVpJYkDtzbxzJA==" spinCount="100000" sheet="1" objects="1" scenarios="1" formatCells="0" formatColumns="0" formatRows="0" insertColumns="0" insertRows="0" insertHyperlinks="0" deleteColumns="0" deleteRows="0"/>
  <dataConsolidate link="1"/>
  <mergeCells count="9">
    <mergeCell ref="A140:E140"/>
    <mergeCell ref="A141:G142"/>
    <mergeCell ref="A1:H1"/>
    <mergeCell ref="A2:G2"/>
    <mergeCell ref="A138:F138"/>
    <mergeCell ref="A139:E139"/>
    <mergeCell ref="I32:J39"/>
    <mergeCell ref="I22:J22"/>
    <mergeCell ref="I23:J25"/>
  </mergeCells>
  <conditionalFormatting sqref="E88:G91 D108:G113 E105:G105 D98:D105 E98:G101 D56:G66 D23:G30 D21 D44:G44 D70:G78 D86:D91 D35:G41 D32:G33 D46:G52 E69:G69">
    <cfRule type="cellIs" dxfId="692" priority="875" operator="equal">
      <formula>0</formula>
    </cfRule>
  </conditionalFormatting>
  <conditionalFormatting sqref="E58:G60 E36:G39">
    <cfRule type="cellIs" dxfId="691" priority="926" operator="equal">
      <formula>0</formula>
    </cfRule>
  </conditionalFormatting>
  <conditionalFormatting sqref="D116:G133">
    <cfRule type="cellIs" dxfId="690" priority="2045" operator="equal">
      <formula>0</formula>
    </cfRule>
  </conditionalFormatting>
  <conditionalFormatting sqref="E35:G39">
    <cfRule type="cellIs" dxfId="689" priority="925" operator="equal">
      <formula>0</formula>
    </cfRule>
  </conditionalFormatting>
  <conditionalFormatting sqref="E58:G66 E69:G71">
    <cfRule type="cellIs" dxfId="688" priority="931" operator="equal">
      <formula>0</formula>
    </cfRule>
  </conditionalFormatting>
  <conditionalFormatting sqref="E71:G71">
    <cfRule type="cellIs" dxfId="687" priority="876" operator="equal">
      <formula>0</formula>
    </cfRule>
  </conditionalFormatting>
  <conditionalFormatting sqref="F107:G107 F115:G115 F135:G135 D136:G136">
    <cfRule type="cellIs" dxfId="686" priority="2220" operator="equal">
      <formula>0</formula>
    </cfRule>
  </conditionalFormatting>
  <conditionalFormatting sqref="E73:G73">
    <cfRule type="cellIs" dxfId="685" priority="860" operator="equal">
      <formula>0</formula>
    </cfRule>
  </conditionalFormatting>
  <conditionalFormatting sqref="E73:G73">
    <cfRule type="cellIs" dxfId="684" priority="859" operator="equal">
      <formula>0</formula>
    </cfRule>
  </conditionalFormatting>
  <conditionalFormatting sqref="E74:G74">
    <cfRule type="cellIs" dxfId="683" priority="857" operator="equal">
      <formula>0</formula>
    </cfRule>
  </conditionalFormatting>
  <conditionalFormatting sqref="E74:G74">
    <cfRule type="cellIs" dxfId="682" priority="856" operator="equal">
      <formula>0</formula>
    </cfRule>
  </conditionalFormatting>
  <conditionalFormatting sqref="E52:G52 E56:G57">
    <cfRule type="cellIs" dxfId="681" priority="854" operator="equal">
      <formula>0</formula>
    </cfRule>
  </conditionalFormatting>
  <conditionalFormatting sqref="E37:G37">
    <cfRule type="cellIs" dxfId="680" priority="853" operator="equal">
      <formula>0</formula>
    </cfRule>
  </conditionalFormatting>
  <conditionalFormatting sqref="E56:G56">
    <cfRule type="cellIs" dxfId="679" priority="852" operator="equal">
      <formula>0</formula>
    </cfRule>
  </conditionalFormatting>
  <conditionalFormatting sqref="E21:G21">
    <cfRule type="cellIs" dxfId="678" priority="851" operator="equal">
      <formula>0</formula>
    </cfRule>
  </conditionalFormatting>
  <conditionalFormatting sqref="I23">
    <cfRule type="cellIs" dxfId="677" priority="848" operator="equal">
      <formula>0</formula>
    </cfRule>
  </conditionalFormatting>
  <conditionalFormatting sqref="I26:J30 I32">
    <cfRule type="cellIs" dxfId="676" priority="847" operator="equal">
      <formula>0</formula>
    </cfRule>
  </conditionalFormatting>
  <conditionalFormatting sqref="E63:G63">
    <cfRule type="cellIs" dxfId="675" priority="846" operator="equal">
      <formula>0</formula>
    </cfRule>
  </conditionalFormatting>
  <conditionalFormatting sqref="E52:G52 E56:G57">
    <cfRule type="cellIs" dxfId="674" priority="845" operator="equal">
      <formula>0</formula>
    </cfRule>
  </conditionalFormatting>
  <conditionalFormatting sqref="E74:G74">
    <cfRule type="cellIs" dxfId="673" priority="844" operator="equal">
      <formula>0</formula>
    </cfRule>
  </conditionalFormatting>
  <conditionalFormatting sqref="E75:G75">
    <cfRule type="cellIs" dxfId="672" priority="843" operator="equal">
      <formula>0</formula>
    </cfRule>
  </conditionalFormatting>
  <conditionalFormatting sqref="E75:G75">
    <cfRule type="cellIs" dxfId="671" priority="842" operator="equal">
      <formula>0</formula>
    </cfRule>
  </conditionalFormatting>
  <conditionalFormatting sqref="E64:G64">
    <cfRule type="cellIs" dxfId="670" priority="837" operator="equal">
      <formula>0</formula>
    </cfRule>
  </conditionalFormatting>
  <conditionalFormatting sqref="E63:G63">
    <cfRule type="cellIs" dxfId="669" priority="836" operator="equal">
      <formula>0</formula>
    </cfRule>
  </conditionalFormatting>
  <conditionalFormatting sqref="E65:G65">
    <cfRule type="cellIs" dxfId="668" priority="835" operator="equal">
      <formula>0</formula>
    </cfRule>
  </conditionalFormatting>
  <conditionalFormatting sqref="E64:G64">
    <cfRule type="cellIs" dxfId="667" priority="834" operator="equal">
      <formula>0</formula>
    </cfRule>
  </conditionalFormatting>
  <conditionalFormatting sqref="E60:G60">
    <cfRule type="cellIs" dxfId="666" priority="833" operator="equal">
      <formula>0</formula>
    </cfRule>
  </conditionalFormatting>
  <conditionalFormatting sqref="E60:G60">
    <cfRule type="cellIs" dxfId="665" priority="832" operator="equal">
      <formula>0</formula>
    </cfRule>
  </conditionalFormatting>
  <conditionalFormatting sqref="E60:G60">
    <cfRule type="cellIs" dxfId="664" priority="830" operator="equal">
      <formula>0</formula>
    </cfRule>
  </conditionalFormatting>
  <conditionalFormatting sqref="E60:G60">
    <cfRule type="cellIs" dxfId="663" priority="829" operator="equal">
      <formula>0</formula>
    </cfRule>
  </conditionalFormatting>
  <conditionalFormatting sqref="E70:G70">
    <cfRule type="cellIs" dxfId="662" priority="828" operator="equal">
      <formula>0</formula>
    </cfRule>
  </conditionalFormatting>
  <conditionalFormatting sqref="E71:G71">
    <cfRule type="cellIs" dxfId="661" priority="827" operator="equal">
      <formula>0</formula>
    </cfRule>
  </conditionalFormatting>
  <conditionalFormatting sqref="E71:G71">
    <cfRule type="cellIs" dxfId="660" priority="826" operator="equal">
      <formula>0</formula>
    </cfRule>
  </conditionalFormatting>
  <conditionalFormatting sqref="E73:G73">
    <cfRule type="cellIs" dxfId="659" priority="824" operator="equal">
      <formula>0</formula>
    </cfRule>
  </conditionalFormatting>
  <conditionalFormatting sqref="E73:G73">
    <cfRule type="cellIs" dxfId="658" priority="823" operator="equal">
      <formula>0</formula>
    </cfRule>
  </conditionalFormatting>
  <conditionalFormatting sqref="E56:G56">
    <cfRule type="cellIs" dxfId="657" priority="821" operator="equal">
      <formula>0</formula>
    </cfRule>
  </conditionalFormatting>
  <conditionalFormatting sqref="E36:G36">
    <cfRule type="cellIs" dxfId="656" priority="820" operator="equal">
      <formula>0</formula>
    </cfRule>
  </conditionalFormatting>
  <conditionalFormatting sqref="E51:G51">
    <cfRule type="cellIs" dxfId="655" priority="819" operator="equal">
      <formula>0</formula>
    </cfRule>
  </conditionalFormatting>
  <conditionalFormatting sqref="E60:G60">
    <cfRule type="cellIs" dxfId="654" priority="818" operator="equal">
      <formula>0</formula>
    </cfRule>
  </conditionalFormatting>
  <conditionalFormatting sqref="E56:G56">
    <cfRule type="cellIs" dxfId="653" priority="817" operator="equal">
      <formula>0</formula>
    </cfRule>
  </conditionalFormatting>
  <conditionalFormatting sqref="E73:G73">
    <cfRule type="cellIs" dxfId="652" priority="816" operator="equal">
      <formula>0</formula>
    </cfRule>
  </conditionalFormatting>
  <conditionalFormatting sqref="E74:G74">
    <cfRule type="cellIs" dxfId="651" priority="815" operator="equal">
      <formula>0</formula>
    </cfRule>
  </conditionalFormatting>
  <conditionalFormatting sqref="E74:G74">
    <cfRule type="cellIs" dxfId="650" priority="814" operator="equal">
      <formula>0</formula>
    </cfRule>
  </conditionalFormatting>
  <conditionalFormatting sqref="E75:G75">
    <cfRule type="cellIs" dxfId="649" priority="812" operator="equal">
      <formula>0</formula>
    </cfRule>
  </conditionalFormatting>
  <conditionalFormatting sqref="E75:G75">
    <cfRule type="cellIs" dxfId="648" priority="811" operator="equal">
      <formula>0</formula>
    </cfRule>
  </conditionalFormatting>
  <conditionalFormatting sqref="E63:G63">
    <cfRule type="cellIs" dxfId="647" priority="809" operator="equal">
      <formula>0</formula>
    </cfRule>
  </conditionalFormatting>
  <conditionalFormatting sqref="E60:G60">
    <cfRule type="cellIs" dxfId="646" priority="808" operator="equal">
      <formula>0</formula>
    </cfRule>
  </conditionalFormatting>
  <conditionalFormatting sqref="E64:G64">
    <cfRule type="cellIs" dxfId="645" priority="807" operator="equal">
      <formula>0</formula>
    </cfRule>
  </conditionalFormatting>
  <conditionalFormatting sqref="E63:G63">
    <cfRule type="cellIs" dxfId="644" priority="806" operator="equal">
      <formula>0</formula>
    </cfRule>
  </conditionalFormatting>
  <conditionalFormatting sqref="E52:G52 E56:G57">
    <cfRule type="cellIs" dxfId="643" priority="805" operator="equal">
      <formula>0</formula>
    </cfRule>
  </conditionalFormatting>
  <conditionalFormatting sqref="E57:G57">
    <cfRule type="cellIs" dxfId="642" priority="804" operator="equal">
      <formula>0</formula>
    </cfRule>
  </conditionalFormatting>
  <conditionalFormatting sqref="E52:G52 E56:G57">
    <cfRule type="cellIs" dxfId="641" priority="802" operator="equal">
      <formula>0</formula>
    </cfRule>
  </conditionalFormatting>
  <conditionalFormatting sqref="E52:G52 E56:G57">
    <cfRule type="cellIs" dxfId="640" priority="801" operator="equal">
      <formula>0</formula>
    </cfRule>
  </conditionalFormatting>
  <conditionalFormatting sqref="E98:G98">
    <cfRule type="cellIs" dxfId="639" priority="800" operator="equal">
      <formula>0</formula>
    </cfRule>
  </conditionalFormatting>
  <conditionalFormatting sqref="E72:G72">
    <cfRule type="cellIs" dxfId="638" priority="799" operator="equal">
      <formula>0</formula>
    </cfRule>
  </conditionalFormatting>
  <conditionalFormatting sqref="E70:G70">
    <cfRule type="cellIs" dxfId="637" priority="798" operator="equal">
      <formula>0</formula>
    </cfRule>
  </conditionalFormatting>
  <conditionalFormatting sqref="E72:G72">
    <cfRule type="cellIs" dxfId="636" priority="797" operator="equal">
      <formula>0</formula>
    </cfRule>
  </conditionalFormatting>
  <conditionalFormatting sqref="E72:G72">
    <cfRule type="cellIs" dxfId="635" priority="796" operator="equal">
      <formula>0</formula>
    </cfRule>
  </conditionalFormatting>
  <conditionalFormatting sqref="E64:G64">
    <cfRule type="cellIs" dxfId="634" priority="777" operator="equal">
      <formula>0</formula>
    </cfRule>
  </conditionalFormatting>
  <conditionalFormatting sqref="E73:G73">
    <cfRule type="cellIs" dxfId="633" priority="794" operator="equal">
      <formula>0</formula>
    </cfRule>
  </conditionalFormatting>
  <conditionalFormatting sqref="E73:G73">
    <cfRule type="cellIs" dxfId="632" priority="793" operator="equal">
      <formula>0</formula>
    </cfRule>
  </conditionalFormatting>
  <conditionalFormatting sqref="E56:G56">
    <cfRule type="cellIs" dxfId="631" priority="791" operator="equal">
      <formula>0</formula>
    </cfRule>
  </conditionalFormatting>
  <conditionalFormatting sqref="E36:G36">
    <cfRule type="cellIs" dxfId="630" priority="790" operator="equal">
      <formula>0</formula>
    </cfRule>
  </conditionalFormatting>
  <conditionalFormatting sqref="E51:G51">
    <cfRule type="cellIs" dxfId="629" priority="789" operator="equal">
      <formula>0</formula>
    </cfRule>
  </conditionalFormatting>
  <conditionalFormatting sqref="E60:G60">
    <cfRule type="cellIs" dxfId="628" priority="788" operator="equal">
      <formula>0</formula>
    </cfRule>
  </conditionalFormatting>
  <conditionalFormatting sqref="E56:G56">
    <cfRule type="cellIs" dxfId="627" priority="787" operator="equal">
      <formula>0</formula>
    </cfRule>
  </conditionalFormatting>
  <conditionalFormatting sqref="E73:G73">
    <cfRule type="cellIs" dxfId="626" priority="786" operator="equal">
      <formula>0</formula>
    </cfRule>
  </conditionalFormatting>
  <conditionalFormatting sqref="E74:G74">
    <cfRule type="cellIs" dxfId="625" priority="785" operator="equal">
      <formula>0</formula>
    </cfRule>
  </conditionalFormatting>
  <conditionalFormatting sqref="E74:G74">
    <cfRule type="cellIs" dxfId="624" priority="784" operator="equal">
      <formula>0</formula>
    </cfRule>
  </conditionalFormatting>
  <conditionalFormatting sqref="E75:G75">
    <cfRule type="cellIs" dxfId="623" priority="782" operator="equal">
      <formula>0</formula>
    </cfRule>
  </conditionalFormatting>
  <conditionalFormatting sqref="E75:G75">
    <cfRule type="cellIs" dxfId="622" priority="781" operator="equal">
      <formula>0</formula>
    </cfRule>
  </conditionalFormatting>
  <conditionalFormatting sqref="E63:G63">
    <cfRule type="cellIs" dxfId="621" priority="779" operator="equal">
      <formula>0</formula>
    </cfRule>
  </conditionalFormatting>
  <conditionalFormatting sqref="E60:G60">
    <cfRule type="cellIs" dxfId="620" priority="778" operator="equal">
      <formula>0</formula>
    </cfRule>
  </conditionalFormatting>
  <conditionalFormatting sqref="E52:G52 E56:G57">
    <cfRule type="cellIs" dxfId="619" priority="772" operator="equal">
      <formula>0</formula>
    </cfRule>
  </conditionalFormatting>
  <conditionalFormatting sqref="E63:G63">
    <cfRule type="cellIs" dxfId="618" priority="776" operator="equal">
      <formula>0</formula>
    </cfRule>
  </conditionalFormatting>
  <conditionalFormatting sqref="E52:G52 E56:G57">
    <cfRule type="cellIs" dxfId="617" priority="775" operator="equal">
      <formula>0</formula>
    </cfRule>
  </conditionalFormatting>
  <conditionalFormatting sqref="E57:G57">
    <cfRule type="cellIs" dxfId="616" priority="774" operator="equal">
      <formula>0</formula>
    </cfRule>
  </conditionalFormatting>
  <conditionalFormatting sqref="E52:G52 E56:G57">
    <cfRule type="cellIs" dxfId="615" priority="771" operator="equal">
      <formula>0</formula>
    </cfRule>
  </conditionalFormatting>
  <conditionalFormatting sqref="E66:G66">
    <cfRule type="cellIs" dxfId="614" priority="770" operator="equal">
      <formula>0</formula>
    </cfRule>
  </conditionalFormatting>
  <conditionalFormatting sqref="E70:G70">
    <cfRule type="cellIs" dxfId="613" priority="769" operator="equal">
      <formula>0</formula>
    </cfRule>
  </conditionalFormatting>
  <conditionalFormatting sqref="E70:G70">
    <cfRule type="cellIs" dxfId="612" priority="768" operator="equal">
      <formula>0</formula>
    </cfRule>
  </conditionalFormatting>
  <conditionalFormatting sqref="E72:G72">
    <cfRule type="cellIs" dxfId="611" priority="766" operator="equal">
      <formula>0</formula>
    </cfRule>
  </conditionalFormatting>
  <conditionalFormatting sqref="E72:G72">
    <cfRule type="cellIs" dxfId="610" priority="765" operator="equal">
      <formula>0</formula>
    </cfRule>
  </conditionalFormatting>
  <conditionalFormatting sqref="E51:G51">
    <cfRule type="cellIs" dxfId="609" priority="763" operator="equal">
      <formula>0</formula>
    </cfRule>
  </conditionalFormatting>
  <conditionalFormatting sqref="E35:G35">
    <cfRule type="cellIs" dxfId="608" priority="762" operator="equal">
      <formula>0</formula>
    </cfRule>
  </conditionalFormatting>
  <conditionalFormatting sqref="E49:G49">
    <cfRule type="cellIs" dxfId="607" priority="761" operator="equal">
      <formula>0</formula>
    </cfRule>
  </conditionalFormatting>
  <conditionalFormatting sqref="E52:G52 E56:G57">
    <cfRule type="cellIs" dxfId="606" priority="760" operator="equal">
      <formula>0</formula>
    </cfRule>
  </conditionalFormatting>
  <conditionalFormatting sqref="E51:G51">
    <cfRule type="cellIs" dxfId="605" priority="759" operator="equal">
      <formula>0</formula>
    </cfRule>
  </conditionalFormatting>
  <conditionalFormatting sqref="E72:G72">
    <cfRule type="cellIs" dxfId="604" priority="758" operator="equal">
      <formula>0</formula>
    </cfRule>
  </conditionalFormatting>
  <conditionalFormatting sqref="E73:G73">
    <cfRule type="cellIs" dxfId="603" priority="757" operator="equal">
      <formula>0</formula>
    </cfRule>
  </conditionalFormatting>
  <conditionalFormatting sqref="E73:G73">
    <cfRule type="cellIs" dxfId="602" priority="756" operator="equal">
      <formula>0</formula>
    </cfRule>
  </conditionalFormatting>
  <conditionalFormatting sqref="E74:G74">
    <cfRule type="cellIs" dxfId="601" priority="754" operator="equal">
      <formula>0</formula>
    </cfRule>
  </conditionalFormatting>
  <conditionalFormatting sqref="E74:G74">
    <cfRule type="cellIs" dxfId="600" priority="753" operator="equal">
      <formula>0</formula>
    </cfRule>
  </conditionalFormatting>
  <conditionalFormatting sqref="E60:G60">
    <cfRule type="cellIs" dxfId="599" priority="751" operator="equal">
      <formula>0</formula>
    </cfRule>
  </conditionalFormatting>
  <conditionalFormatting sqref="E52:G52 E56:G57">
    <cfRule type="cellIs" dxfId="598" priority="750" operator="equal">
      <formula>0</formula>
    </cfRule>
  </conditionalFormatting>
  <conditionalFormatting sqref="E63:G63">
    <cfRule type="cellIs" dxfId="597" priority="749" operator="equal">
      <formula>0</formula>
    </cfRule>
  </conditionalFormatting>
  <conditionalFormatting sqref="E60:G60">
    <cfRule type="cellIs" dxfId="596" priority="748" operator="equal">
      <formula>0</formula>
    </cfRule>
  </conditionalFormatting>
  <conditionalFormatting sqref="E56:G56">
    <cfRule type="cellIs" dxfId="595" priority="747" operator="equal">
      <formula>0</formula>
    </cfRule>
  </conditionalFormatting>
  <conditionalFormatting sqref="E56:G56">
    <cfRule type="cellIs" dxfId="594" priority="746" operator="equal">
      <formula>0</formula>
    </cfRule>
  </conditionalFormatting>
  <conditionalFormatting sqref="E56:G56">
    <cfRule type="cellIs" dxfId="593" priority="744" operator="equal">
      <formula>0</formula>
    </cfRule>
  </conditionalFormatting>
  <conditionalFormatting sqref="E56:G56">
    <cfRule type="cellIs" dxfId="592" priority="743" operator="equal">
      <formula>0</formula>
    </cfRule>
  </conditionalFormatting>
  <conditionalFormatting sqref="E91:G91">
    <cfRule type="cellIs" dxfId="591" priority="742" operator="equal">
      <formula>0</formula>
    </cfRule>
  </conditionalFormatting>
  <conditionalFormatting sqref="E71:G71">
    <cfRule type="cellIs" dxfId="590" priority="741" operator="equal">
      <formula>0</formula>
    </cfRule>
  </conditionalFormatting>
  <conditionalFormatting sqref="E62:G62">
    <cfRule type="cellIs" dxfId="589" priority="739" operator="equal">
      <formula>0</formula>
    </cfRule>
  </conditionalFormatting>
  <conditionalFormatting sqref="E62:G62">
    <cfRule type="cellIs" dxfId="588" priority="738" operator="equal">
      <formula>0</formula>
    </cfRule>
  </conditionalFormatting>
  <conditionalFormatting sqref="E62:G62">
    <cfRule type="cellIs" dxfId="587" priority="740" operator="equal">
      <formula>0</formula>
    </cfRule>
  </conditionalFormatting>
  <conditionalFormatting sqref="E62:G62">
    <cfRule type="cellIs" dxfId="586" priority="736" operator="equal">
      <formula>0</formula>
    </cfRule>
  </conditionalFormatting>
  <conditionalFormatting sqref="E62:G62">
    <cfRule type="cellIs" dxfId="585" priority="735" operator="equal">
      <formula>0</formula>
    </cfRule>
  </conditionalFormatting>
  <conditionalFormatting sqref="E62:G62">
    <cfRule type="cellIs" dxfId="584" priority="733" operator="equal">
      <formula>0</formula>
    </cfRule>
  </conditionalFormatting>
  <conditionalFormatting sqref="E62:G62">
    <cfRule type="cellIs" dxfId="583" priority="732" operator="equal">
      <formula>0</formula>
    </cfRule>
  </conditionalFormatting>
  <conditionalFormatting sqref="E62:G62">
    <cfRule type="cellIs" dxfId="582" priority="731" operator="equal">
      <formula>0</formula>
    </cfRule>
  </conditionalFormatting>
  <conditionalFormatting sqref="E62:G62">
    <cfRule type="cellIs" dxfId="581" priority="730" operator="equal">
      <formula>0</formula>
    </cfRule>
  </conditionalFormatting>
  <conditionalFormatting sqref="E62:G62">
    <cfRule type="cellIs" dxfId="580" priority="729" operator="equal">
      <formula>0</formula>
    </cfRule>
  </conditionalFormatting>
  <conditionalFormatting sqref="E62:G62">
    <cfRule type="cellIs" dxfId="579" priority="728" operator="equal">
      <formula>0</formula>
    </cfRule>
  </conditionalFormatting>
  <conditionalFormatting sqref="E62:G62">
    <cfRule type="cellIs" dxfId="578" priority="727" operator="equal">
      <formula>0</formula>
    </cfRule>
  </conditionalFormatting>
  <conditionalFormatting sqref="E62:G62">
    <cfRule type="cellIs" dxfId="577" priority="726" operator="equal">
      <formula>0</formula>
    </cfRule>
  </conditionalFormatting>
  <conditionalFormatting sqref="E77:G78">
    <cfRule type="cellIs" dxfId="576" priority="724" operator="equal">
      <formula>0</formula>
    </cfRule>
  </conditionalFormatting>
  <conditionalFormatting sqref="E77:G78">
    <cfRule type="cellIs" dxfId="575" priority="725" operator="equal">
      <formula>0</formula>
    </cfRule>
  </conditionalFormatting>
  <conditionalFormatting sqref="E86:G86">
    <cfRule type="cellIs" dxfId="574" priority="717" operator="equal">
      <formula>0</formula>
    </cfRule>
  </conditionalFormatting>
  <conditionalFormatting sqref="E86:G86">
    <cfRule type="cellIs" dxfId="573" priority="718" operator="equal">
      <formula>0</formula>
    </cfRule>
  </conditionalFormatting>
  <conditionalFormatting sqref="E87:G87">
    <cfRule type="cellIs" dxfId="572" priority="715" operator="equal">
      <formula>0</formula>
    </cfRule>
  </conditionalFormatting>
  <conditionalFormatting sqref="E87:G87">
    <cfRule type="cellIs" dxfId="571" priority="716" operator="equal">
      <formula>0</formula>
    </cfRule>
  </conditionalFormatting>
  <conditionalFormatting sqref="E88:G88">
    <cfRule type="cellIs" dxfId="570" priority="713" operator="equal">
      <formula>0</formula>
    </cfRule>
  </conditionalFormatting>
  <conditionalFormatting sqref="E88:G88">
    <cfRule type="cellIs" dxfId="569" priority="714" operator="equal">
      <formula>0</formula>
    </cfRule>
  </conditionalFormatting>
  <conditionalFormatting sqref="E99:G99">
    <cfRule type="cellIs" dxfId="568" priority="712" operator="equal">
      <formula>0</formula>
    </cfRule>
  </conditionalFormatting>
  <conditionalFormatting sqref="E72:G72">
    <cfRule type="cellIs" dxfId="567" priority="707" operator="equal">
      <formula>0</formula>
    </cfRule>
  </conditionalFormatting>
  <conditionalFormatting sqref="E59:G59">
    <cfRule type="cellIs" dxfId="566" priority="710" operator="equal">
      <formula>0</formula>
    </cfRule>
  </conditionalFormatting>
  <conditionalFormatting sqref="E70:G70">
    <cfRule type="cellIs" dxfId="565" priority="709" operator="equal">
      <formula>0</formula>
    </cfRule>
  </conditionalFormatting>
  <conditionalFormatting sqref="E72:G72">
    <cfRule type="cellIs" dxfId="564" priority="708" operator="equal">
      <formula>0</formula>
    </cfRule>
  </conditionalFormatting>
  <conditionalFormatting sqref="E73:G73">
    <cfRule type="cellIs" dxfId="563" priority="705" operator="equal">
      <formula>0</formula>
    </cfRule>
  </conditionalFormatting>
  <conditionalFormatting sqref="E73:G73">
    <cfRule type="cellIs" dxfId="562" priority="704" operator="equal">
      <formula>0</formula>
    </cfRule>
  </conditionalFormatting>
  <conditionalFormatting sqref="E36:G36">
    <cfRule type="cellIs" dxfId="561" priority="702" operator="equal">
      <formula>0</formula>
    </cfRule>
  </conditionalFormatting>
  <conditionalFormatting sqref="E51:G51">
    <cfRule type="cellIs" dxfId="560" priority="701" operator="equal">
      <formula>0</formula>
    </cfRule>
  </conditionalFormatting>
  <conditionalFormatting sqref="E62:G62">
    <cfRule type="cellIs" dxfId="559" priority="700" operator="equal">
      <formula>0</formula>
    </cfRule>
  </conditionalFormatting>
  <conditionalFormatting sqref="E73:G73">
    <cfRule type="cellIs" dxfId="558" priority="699" operator="equal">
      <formula>0</formula>
    </cfRule>
  </conditionalFormatting>
  <conditionalFormatting sqref="E74:G74">
    <cfRule type="cellIs" dxfId="557" priority="698" operator="equal">
      <formula>0</formula>
    </cfRule>
  </conditionalFormatting>
  <conditionalFormatting sqref="E74:G74">
    <cfRule type="cellIs" dxfId="556" priority="697" operator="equal">
      <formula>0</formula>
    </cfRule>
  </conditionalFormatting>
  <conditionalFormatting sqref="E63:G63">
    <cfRule type="cellIs" dxfId="555" priority="695" operator="equal">
      <formula>0</formula>
    </cfRule>
  </conditionalFormatting>
  <conditionalFormatting sqref="E62:G62">
    <cfRule type="cellIs" dxfId="554" priority="694" operator="equal">
      <formula>0</formula>
    </cfRule>
  </conditionalFormatting>
  <conditionalFormatting sqref="E64:G64">
    <cfRule type="cellIs" dxfId="553" priority="693" operator="equal">
      <formula>0</formula>
    </cfRule>
  </conditionalFormatting>
  <conditionalFormatting sqref="E63:G63">
    <cfRule type="cellIs" dxfId="552" priority="692" operator="equal">
      <formula>0</formula>
    </cfRule>
  </conditionalFormatting>
  <conditionalFormatting sqref="E59:G59">
    <cfRule type="cellIs" dxfId="551" priority="691" operator="equal">
      <formula>0</formula>
    </cfRule>
  </conditionalFormatting>
  <conditionalFormatting sqref="E59:G59">
    <cfRule type="cellIs" dxfId="550" priority="690" operator="equal">
      <formula>0</formula>
    </cfRule>
  </conditionalFormatting>
  <conditionalFormatting sqref="E59:G59">
    <cfRule type="cellIs" dxfId="549" priority="689" operator="equal">
      <formula>0</formula>
    </cfRule>
  </conditionalFormatting>
  <conditionalFormatting sqref="E59:G59">
    <cfRule type="cellIs" dxfId="548" priority="688" operator="equal">
      <formula>0</formula>
    </cfRule>
  </conditionalFormatting>
  <conditionalFormatting sqref="E66:G66">
    <cfRule type="cellIs" dxfId="547" priority="687" operator="equal">
      <formula>0</formula>
    </cfRule>
  </conditionalFormatting>
  <conditionalFormatting sqref="E70:G70">
    <cfRule type="cellIs" dxfId="546" priority="686" operator="equal">
      <formula>0</formula>
    </cfRule>
  </conditionalFormatting>
  <conditionalFormatting sqref="E70:G70">
    <cfRule type="cellIs" dxfId="545" priority="685" operator="equal">
      <formula>0</formula>
    </cfRule>
  </conditionalFormatting>
  <conditionalFormatting sqref="E72:G72">
    <cfRule type="cellIs" dxfId="544" priority="683" operator="equal">
      <formula>0</formula>
    </cfRule>
  </conditionalFormatting>
  <conditionalFormatting sqref="E72:G72">
    <cfRule type="cellIs" dxfId="543" priority="682" operator="equal">
      <formula>0</formula>
    </cfRule>
  </conditionalFormatting>
  <conditionalFormatting sqref="E51:G51">
    <cfRule type="cellIs" dxfId="542" priority="680" operator="equal">
      <formula>0</formula>
    </cfRule>
  </conditionalFormatting>
  <conditionalFormatting sqref="E35:G35">
    <cfRule type="cellIs" dxfId="541" priority="679" operator="equal">
      <formula>0</formula>
    </cfRule>
  </conditionalFormatting>
  <conditionalFormatting sqref="E49:G49">
    <cfRule type="cellIs" dxfId="540" priority="678" operator="equal">
      <formula>0</formula>
    </cfRule>
  </conditionalFormatting>
  <conditionalFormatting sqref="E59:G59">
    <cfRule type="cellIs" dxfId="539" priority="677" operator="equal">
      <formula>0</formula>
    </cfRule>
  </conditionalFormatting>
  <conditionalFormatting sqref="E51:G51">
    <cfRule type="cellIs" dxfId="538" priority="676" operator="equal">
      <formula>0</formula>
    </cfRule>
  </conditionalFormatting>
  <conditionalFormatting sqref="E72:G72">
    <cfRule type="cellIs" dxfId="537" priority="675" operator="equal">
      <formula>0</formula>
    </cfRule>
  </conditionalFormatting>
  <conditionalFormatting sqref="E73:G73">
    <cfRule type="cellIs" dxfId="536" priority="674" operator="equal">
      <formula>0</formula>
    </cfRule>
  </conditionalFormatting>
  <conditionalFormatting sqref="E73:G73">
    <cfRule type="cellIs" dxfId="535" priority="673" operator="equal">
      <formula>0</formula>
    </cfRule>
  </conditionalFormatting>
  <conditionalFormatting sqref="E74:G74">
    <cfRule type="cellIs" dxfId="534" priority="671" operator="equal">
      <formula>0</formula>
    </cfRule>
  </conditionalFormatting>
  <conditionalFormatting sqref="E74:G74">
    <cfRule type="cellIs" dxfId="533" priority="670" operator="equal">
      <formula>0</formula>
    </cfRule>
  </conditionalFormatting>
  <conditionalFormatting sqref="E62:G62">
    <cfRule type="cellIs" dxfId="532" priority="668" operator="equal">
      <formula>0</formula>
    </cfRule>
  </conditionalFormatting>
  <conditionalFormatting sqref="E59:G59">
    <cfRule type="cellIs" dxfId="531" priority="667" operator="equal">
      <formula>0</formula>
    </cfRule>
  </conditionalFormatting>
  <conditionalFormatting sqref="E63:G63">
    <cfRule type="cellIs" dxfId="530" priority="666" operator="equal">
      <formula>0</formula>
    </cfRule>
  </conditionalFormatting>
  <conditionalFormatting sqref="E62:G62">
    <cfRule type="cellIs" dxfId="529" priority="665" operator="equal">
      <formula>0</formula>
    </cfRule>
  </conditionalFormatting>
  <conditionalFormatting sqref="E56:G56">
    <cfRule type="cellIs" dxfId="528" priority="664" operator="equal">
      <formula>0</formula>
    </cfRule>
  </conditionalFormatting>
  <conditionalFormatting sqref="E91:G91">
    <cfRule type="cellIs" dxfId="527" priority="663" operator="equal">
      <formula>0</formula>
    </cfRule>
  </conditionalFormatting>
  <conditionalFormatting sqref="E71:G71">
    <cfRule type="cellIs" dxfId="526" priority="662" operator="equal">
      <formula>0</formula>
    </cfRule>
  </conditionalFormatting>
  <conditionalFormatting sqref="E66:G66">
    <cfRule type="cellIs" dxfId="525" priority="661" operator="equal">
      <formula>0</formula>
    </cfRule>
  </conditionalFormatting>
  <conditionalFormatting sqref="E71:G71">
    <cfRule type="cellIs" dxfId="524" priority="660" operator="equal">
      <formula>0</formula>
    </cfRule>
  </conditionalFormatting>
  <conditionalFormatting sqref="E71:G71">
    <cfRule type="cellIs" dxfId="523" priority="659" operator="equal">
      <formula>0</formula>
    </cfRule>
  </conditionalFormatting>
  <conditionalFormatting sqref="E63:G63">
    <cfRule type="cellIs" dxfId="522" priority="640" operator="equal">
      <formula>0</formula>
    </cfRule>
  </conditionalFormatting>
  <conditionalFormatting sqref="E72:G72">
    <cfRule type="cellIs" dxfId="521" priority="657" operator="equal">
      <formula>0</formula>
    </cfRule>
  </conditionalFormatting>
  <conditionalFormatting sqref="E72:G72">
    <cfRule type="cellIs" dxfId="520" priority="656" operator="equal">
      <formula>0</formula>
    </cfRule>
  </conditionalFormatting>
  <conditionalFormatting sqref="E51:G51">
    <cfRule type="cellIs" dxfId="519" priority="654" operator="equal">
      <formula>0</formula>
    </cfRule>
  </conditionalFormatting>
  <conditionalFormatting sqref="E35:G35">
    <cfRule type="cellIs" dxfId="518" priority="653" operator="equal">
      <formula>0</formula>
    </cfRule>
  </conditionalFormatting>
  <conditionalFormatting sqref="E49:G49">
    <cfRule type="cellIs" dxfId="517" priority="652" operator="equal">
      <formula>0</formula>
    </cfRule>
  </conditionalFormatting>
  <conditionalFormatting sqref="E59:G59">
    <cfRule type="cellIs" dxfId="516" priority="651" operator="equal">
      <formula>0</formula>
    </cfRule>
  </conditionalFormatting>
  <conditionalFormatting sqref="E51:G51">
    <cfRule type="cellIs" dxfId="515" priority="650" operator="equal">
      <formula>0</formula>
    </cfRule>
  </conditionalFormatting>
  <conditionalFormatting sqref="E72:G72">
    <cfRule type="cellIs" dxfId="514" priority="649" operator="equal">
      <formula>0</formula>
    </cfRule>
  </conditionalFormatting>
  <conditionalFormatting sqref="E73:G73">
    <cfRule type="cellIs" dxfId="513" priority="648" operator="equal">
      <formula>0</formula>
    </cfRule>
  </conditionalFormatting>
  <conditionalFormatting sqref="E73:G73">
    <cfRule type="cellIs" dxfId="512" priority="647" operator="equal">
      <formula>0</formula>
    </cfRule>
  </conditionalFormatting>
  <conditionalFormatting sqref="E74:G74">
    <cfRule type="cellIs" dxfId="511" priority="645" operator="equal">
      <formula>0</formula>
    </cfRule>
  </conditionalFormatting>
  <conditionalFormatting sqref="E74:G74">
    <cfRule type="cellIs" dxfId="510" priority="644" operator="equal">
      <formula>0</formula>
    </cfRule>
  </conditionalFormatting>
  <conditionalFormatting sqref="E62:G62">
    <cfRule type="cellIs" dxfId="509" priority="642" operator="equal">
      <formula>0</formula>
    </cfRule>
  </conditionalFormatting>
  <conditionalFormatting sqref="E59:G59">
    <cfRule type="cellIs" dxfId="508" priority="641" operator="equal">
      <formula>0</formula>
    </cfRule>
  </conditionalFormatting>
  <conditionalFormatting sqref="E62:G62">
    <cfRule type="cellIs" dxfId="507" priority="639" operator="equal">
      <formula>0</formula>
    </cfRule>
  </conditionalFormatting>
  <conditionalFormatting sqref="E56:G56">
    <cfRule type="cellIs" dxfId="506" priority="638" operator="equal">
      <formula>0</formula>
    </cfRule>
  </conditionalFormatting>
  <conditionalFormatting sqref="E65:G65">
    <cfRule type="cellIs" dxfId="505" priority="637" operator="equal">
      <formula>0</formula>
    </cfRule>
  </conditionalFormatting>
  <conditionalFormatting sqref="E66:G66">
    <cfRule type="cellIs" dxfId="504" priority="636" operator="equal">
      <formula>0</formula>
    </cfRule>
  </conditionalFormatting>
  <conditionalFormatting sqref="E66:G66">
    <cfRule type="cellIs" dxfId="503" priority="635" operator="equal">
      <formula>0</formula>
    </cfRule>
  </conditionalFormatting>
  <conditionalFormatting sqref="E71:G71">
    <cfRule type="cellIs" dxfId="502" priority="633" operator="equal">
      <formula>0</formula>
    </cfRule>
  </conditionalFormatting>
  <conditionalFormatting sqref="E71:G71">
    <cfRule type="cellIs" dxfId="501" priority="632" operator="equal">
      <formula>0</formula>
    </cfRule>
  </conditionalFormatting>
  <conditionalFormatting sqref="E49:G49">
    <cfRule type="cellIs" dxfId="500" priority="630" operator="equal">
      <formula>0</formula>
    </cfRule>
  </conditionalFormatting>
  <conditionalFormatting sqref="E32:G32">
    <cfRule type="cellIs" dxfId="499" priority="629" operator="equal">
      <formula>0</formula>
    </cfRule>
  </conditionalFormatting>
  <conditionalFormatting sqref="E46:G48">
    <cfRule type="cellIs" dxfId="498" priority="628" operator="equal">
      <formula>0</formula>
    </cfRule>
  </conditionalFormatting>
  <conditionalFormatting sqref="E49:G49">
    <cfRule type="cellIs" dxfId="497" priority="627" operator="equal">
      <formula>0</formula>
    </cfRule>
  </conditionalFormatting>
  <conditionalFormatting sqref="E71:G71">
    <cfRule type="cellIs" dxfId="496" priority="626" operator="equal">
      <formula>0</formula>
    </cfRule>
  </conditionalFormatting>
  <conditionalFormatting sqref="E72:G72">
    <cfRule type="cellIs" dxfId="495" priority="625" operator="equal">
      <formula>0</formula>
    </cfRule>
  </conditionalFormatting>
  <conditionalFormatting sqref="E72:G72">
    <cfRule type="cellIs" dxfId="494" priority="624" operator="equal">
      <formula>0</formula>
    </cfRule>
  </conditionalFormatting>
  <conditionalFormatting sqref="E73:G73">
    <cfRule type="cellIs" dxfId="493" priority="622" operator="equal">
      <formula>0</formula>
    </cfRule>
  </conditionalFormatting>
  <conditionalFormatting sqref="E73:G73">
    <cfRule type="cellIs" dxfId="492" priority="621" operator="equal">
      <formula>0</formula>
    </cfRule>
  </conditionalFormatting>
  <conditionalFormatting sqref="E59:G59">
    <cfRule type="cellIs" dxfId="491" priority="619" operator="equal">
      <formula>0</formula>
    </cfRule>
  </conditionalFormatting>
  <conditionalFormatting sqref="E62:G62">
    <cfRule type="cellIs" dxfId="490" priority="618" operator="equal">
      <formula>0</formula>
    </cfRule>
  </conditionalFormatting>
  <conditionalFormatting sqref="E59:G59">
    <cfRule type="cellIs" dxfId="489" priority="617" operator="equal">
      <formula>0</formula>
    </cfRule>
  </conditionalFormatting>
  <conditionalFormatting sqref="E51:G51">
    <cfRule type="cellIs" dxfId="488" priority="616" operator="equal">
      <formula>0</formula>
    </cfRule>
  </conditionalFormatting>
  <conditionalFormatting sqref="E51:G51">
    <cfRule type="cellIs" dxfId="487" priority="615" operator="equal">
      <formula>0</formula>
    </cfRule>
  </conditionalFormatting>
  <conditionalFormatting sqref="E51:G51">
    <cfRule type="cellIs" dxfId="486" priority="613" operator="equal">
      <formula>0</formula>
    </cfRule>
  </conditionalFormatting>
  <conditionalFormatting sqref="E51:G51">
    <cfRule type="cellIs" dxfId="485" priority="612" operator="equal">
      <formula>0</formula>
    </cfRule>
  </conditionalFormatting>
  <conditionalFormatting sqref="E90:G90">
    <cfRule type="cellIs" dxfId="484" priority="611" operator="equal">
      <formula>0</formula>
    </cfRule>
  </conditionalFormatting>
  <conditionalFormatting sqref="E70:G70">
    <cfRule type="cellIs" dxfId="483" priority="610" operator="equal">
      <formula>0</formula>
    </cfRule>
  </conditionalFormatting>
  <conditionalFormatting sqref="E60:G60">
    <cfRule type="cellIs" dxfId="482" priority="608" operator="equal">
      <formula>0</formula>
    </cfRule>
  </conditionalFormatting>
  <conditionalFormatting sqref="E60:G60">
    <cfRule type="cellIs" dxfId="481" priority="607" operator="equal">
      <formula>0</formula>
    </cfRule>
  </conditionalFormatting>
  <conditionalFormatting sqref="E60:G60">
    <cfRule type="cellIs" dxfId="480" priority="609" operator="equal">
      <formula>0</formula>
    </cfRule>
  </conditionalFormatting>
  <conditionalFormatting sqref="E60:G60">
    <cfRule type="cellIs" dxfId="479" priority="605" operator="equal">
      <formula>0</formula>
    </cfRule>
  </conditionalFormatting>
  <conditionalFormatting sqref="E60:G60">
    <cfRule type="cellIs" dxfId="478" priority="604" operator="equal">
      <formula>0</formula>
    </cfRule>
  </conditionalFormatting>
  <conditionalFormatting sqref="E60:G60">
    <cfRule type="cellIs" dxfId="477" priority="602" operator="equal">
      <formula>0</formula>
    </cfRule>
  </conditionalFormatting>
  <conditionalFormatting sqref="E60:G60">
    <cfRule type="cellIs" dxfId="476" priority="601" operator="equal">
      <formula>0</formula>
    </cfRule>
  </conditionalFormatting>
  <conditionalFormatting sqref="E60:G60">
    <cfRule type="cellIs" dxfId="475" priority="600" operator="equal">
      <formula>0</formula>
    </cfRule>
  </conditionalFormatting>
  <conditionalFormatting sqref="E60:G60">
    <cfRule type="cellIs" dxfId="474" priority="599" operator="equal">
      <formula>0</formula>
    </cfRule>
  </conditionalFormatting>
  <conditionalFormatting sqref="E60:G60">
    <cfRule type="cellIs" dxfId="473" priority="598" operator="equal">
      <formula>0</formula>
    </cfRule>
  </conditionalFormatting>
  <conditionalFormatting sqref="E60:G60">
    <cfRule type="cellIs" dxfId="472" priority="597" operator="equal">
      <formula>0</formula>
    </cfRule>
  </conditionalFormatting>
  <conditionalFormatting sqref="E60:G60">
    <cfRule type="cellIs" dxfId="471" priority="596" operator="equal">
      <formula>0</formula>
    </cfRule>
  </conditionalFormatting>
  <conditionalFormatting sqref="E60:G60">
    <cfRule type="cellIs" dxfId="470" priority="595" operator="equal">
      <formula>0</formula>
    </cfRule>
  </conditionalFormatting>
  <conditionalFormatting sqref="E78:G78">
    <cfRule type="cellIs" dxfId="469" priority="594" operator="equal">
      <formula>0</formula>
    </cfRule>
  </conditionalFormatting>
  <conditionalFormatting sqref="E78:G78">
    <cfRule type="cellIs" dxfId="468" priority="593" operator="equal">
      <formula>0</formula>
    </cfRule>
  </conditionalFormatting>
  <conditionalFormatting sqref="E86:G86">
    <cfRule type="cellIs" dxfId="467" priority="586" operator="equal">
      <formula>0</formula>
    </cfRule>
  </conditionalFormatting>
  <conditionalFormatting sqref="E86:G86">
    <cfRule type="cellIs" dxfId="466" priority="587" operator="equal">
      <formula>0</formula>
    </cfRule>
  </conditionalFormatting>
  <conditionalFormatting sqref="E87:G87">
    <cfRule type="cellIs" dxfId="465" priority="584" operator="equal">
      <formula>0</formula>
    </cfRule>
  </conditionalFormatting>
  <conditionalFormatting sqref="E87:G87">
    <cfRule type="cellIs" dxfId="464" priority="585" operator="equal">
      <formula>0</formula>
    </cfRule>
  </conditionalFormatting>
  <conditionalFormatting sqref="E98:G98">
    <cfRule type="cellIs" dxfId="463" priority="583" operator="equal">
      <formula>0</formula>
    </cfRule>
  </conditionalFormatting>
  <conditionalFormatting sqref="E57:G57">
    <cfRule type="cellIs" dxfId="462" priority="582" operator="equal">
      <formula>0</formula>
    </cfRule>
  </conditionalFormatting>
  <conditionalFormatting sqref="E38:G38">
    <cfRule type="cellIs" dxfId="461" priority="579" operator="equal">
      <formula>0</formula>
    </cfRule>
  </conditionalFormatting>
  <conditionalFormatting sqref="E38:G38">
    <cfRule type="cellIs" dxfId="460" priority="581" operator="equal">
      <formula>0</formula>
    </cfRule>
  </conditionalFormatting>
  <conditionalFormatting sqref="E38:G38">
    <cfRule type="cellIs" dxfId="459" priority="580" operator="equal">
      <formula>0</formula>
    </cfRule>
  </conditionalFormatting>
  <conditionalFormatting sqref="E40:G40">
    <cfRule type="cellIs" dxfId="458" priority="576" operator="equal">
      <formula>0</formula>
    </cfRule>
  </conditionalFormatting>
  <conditionalFormatting sqref="E40:G40">
    <cfRule type="cellIs" dxfId="457" priority="578" operator="equal">
      <formula>0</formula>
    </cfRule>
  </conditionalFormatting>
  <conditionalFormatting sqref="E40:G40">
    <cfRule type="cellIs" dxfId="456" priority="577" operator="equal">
      <formula>0</formula>
    </cfRule>
  </conditionalFormatting>
  <conditionalFormatting sqref="E39:G39">
    <cfRule type="cellIs" dxfId="455" priority="573" operator="equal">
      <formula>0</formula>
    </cfRule>
  </conditionalFormatting>
  <conditionalFormatting sqref="E39:G39">
    <cfRule type="cellIs" dxfId="454" priority="575" operator="equal">
      <formula>0</formula>
    </cfRule>
  </conditionalFormatting>
  <conditionalFormatting sqref="E39:G39">
    <cfRule type="cellIs" dxfId="453" priority="574" operator="equal">
      <formula>0</formula>
    </cfRule>
  </conditionalFormatting>
  <conditionalFormatting sqref="E58:G58">
    <cfRule type="cellIs" dxfId="452" priority="571" operator="equal">
      <formula>0</formula>
    </cfRule>
  </conditionalFormatting>
  <conditionalFormatting sqref="E58:G58">
    <cfRule type="cellIs" dxfId="451" priority="569" operator="equal">
      <formula>0</formula>
    </cfRule>
  </conditionalFormatting>
  <conditionalFormatting sqref="E58:G58">
    <cfRule type="cellIs" dxfId="450" priority="570" operator="equal">
      <formula>0</formula>
    </cfRule>
  </conditionalFormatting>
  <conditionalFormatting sqref="E58:G58">
    <cfRule type="cellIs" dxfId="449" priority="556" operator="equal">
      <formula>0</formula>
    </cfRule>
  </conditionalFormatting>
  <conditionalFormatting sqref="E58:G58">
    <cfRule type="cellIs" dxfId="448" priority="555" operator="equal">
      <formula>0</formula>
    </cfRule>
  </conditionalFormatting>
  <conditionalFormatting sqref="E58:G58">
    <cfRule type="cellIs" dxfId="447" priority="554" operator="equal">
      <formula>0</formula>
    </cfRule>
  </conditionalFormatting>
  <conditionalFormatting sqref="E58:G58">
    <cfRule type="cellIs" dxfId="446" priority="553" operator="equal">
      <formula>0</formula>
    </cfRule>
  </conditionalFormatting>
  <conditionalFormatting sqref="E58:G58">
    <cfRule type="cellIs" dxfId="445" priority="552" operator="equal">
      <formula>0</formula>
    </cfRule>
  </conditionalFormatting>
  <conditionalFormatting sqref="E58:G58">
    <cfRule type="cellIs" dxfId="444" priority="551" operator="equal">
      <formula>0</formula>
    </cfRule>
  </conditionalFormatting>
  <conditionalFormatting sqref="E58:G58">
    <cfRule type="cellIs" dxfId="443" priority="550" operator="equal">
      <formula>0</formula>
    </cfRule>
  </conditionalFormatting>
  <conditionalFormatting sqref="E58:G58">
    <cfRule type="cellIs" dxfId="442" priority="549" operator="equal">
      <formula>0</formula>
    </cfRule>
  </conditionalFormatting>
  <conditionalFormatting sqref="E58:G58">
    <cfRule type="cellIs" dxfId="441" priority="548" operator="equal">
      <formula>0</formula>
    </cfRule>
  </conditionalFormatting>
  <conditionalFormatting sqref="E58:G58">
    <cfRule type="cellIs" dxfId="440" priority="547" operator="equal">
      <formula>0</formula>
    </cfRule>
  </conditionalFormatting>
  <conditionalFormatting sqref="E58:G58">
    <cfRule type="cellIs" dxfId="439" priority="546" operator="equal">
      <formula>0</formula>
    </cfRule>
  </conditionalFormatting>
  <conditionalFormatting sqref="E77:G77">
    <cfRule type="cellIs" dxfId="438" priority="545" operator="equal">
      <formula>0</formula>
    </cfRule>
  </conditionalFormatting>
  <conditionalFormatting sqref="E61:G61">
    <cfRule type="cellIs" dxfId="437" priority="544" operator="equal">
      <formula>0</formula>
    </cfRule>
  </conditionalFormatting>
  <conditionalFormatting sqref="E52:G52">
    <cfRule type="cellIs" dxfId="436" priority="543" operator="equal">
      <formula>0</formula>
    </cfRule>
  </conditionalFormatting>
  <conditionalFormatting sqref="E103:G104">
    <cfRule type="cellIs" dxfId="435" priority="542" operator="equal">
      <formula>0</formula>
    </cfRule>
  </conditionalFormatting>
  <conditionalFormatting sqref="E102:G102">
    <cfRule type="cellIs" dxfId="434" priority="541" operator="equal">
      <formula>0</formula>
    </cfRule>
  </conditionalFormatting>
  <conditionalFormatting sqref="E73:G73">
    <cfRule type="cellIs" dxfId="433" priority="512" operator="equal">
      <formula>0</formula>
    </cfRule>
  </conditionalFormatting>
  <conditionalFormatting sqref="E74:G74">
    <cfRule type="cellIs" dxfId="432" priority="462" operator="equal">
      <formula>0</formula>
    </cfRule>
  </conditionalFormatting>
  <conditionalFormatting sqref="D50">
    <cfRule type="cellIs" dxfId="431" priority="538" operator="equal">
      <formula>0</formula>
    </cfRule>
  </conditionalFormatting>
  <conditionalFormatting sqref="E50:G50">
    <cfRule type="cellIs" dxfId="430" priority="537" operator="equal">
      <formula>0</formula>
    </cfRule>
  </conditionalFormatting>
  <conditionalFormatting sqref="E73:G73">
    <cfRule type="cellIs" dxfId="429" priority="463" operator="equal">
      <formula>0</formula>
    </cfRule>
  </conditionalFormatting>
  <conditionalFormatting sqref="E21:G21">
    <cfRule type="cellIs" dxfId="428" priority="531" operator="equal">
      <formula>0</formula>
    </cfRule>
  </conditionalFormatting>
  <conditionalFormatting sqref="E69:G69">
    <cfRule type="cellIs" dxfId="427" priority="526" operator="equal">
      <formula>0</formula>
    </cfRule>
  </conditionalFormatting>
  <conditionalFormatting sqref="E70:G70">
    <cfRule type="cellIs" dxfId="426" priority="515" operator="equal">
      <formula>0</formula>
    </cfRule>
  </conditionalFormatting>
  <conditionalFormatting sqref="E72:G72">
    <cfRule type="cellIs" dxfId="425" priority="514" operator="equal">
      <formula>0</formula>
    </cfRule>
  </conditionalFormatting>
  <conditionalFormatting sqref="E72:G72">
    <cfRule type="cellIs" dxfId="424" priority="513" operator="equal">
      <formula>0</formula>
    </cfRule>
  </conditionalFormatting>
  <conditionalFormatting sqref="E73:G73">
    <cfRule type="cellIs" dxfId="423" priority="511" operator="equal">
      <formula>0</formula>
    </cfRule>
  </conditionalFormatting>
  <conditionalFormatting sqref="E36:G36">
    <cfRule type="cellIs" dxfId="422" priority="510" operator="equal">
      <formula>0</formula>
    </cfRule>
  </conditionalFormatting>
  <conditionalFormatting sqref="E52:G52">
    <cfRule type="cellIs" dxfId="421" priority="509" operator="equal">
      <formula>0</formula>
    </cfRule>
  </conditionalFormatting>
  <conditionalFormatting sqref="E62:G62">
    <cfRule type="cellIs" dxfId="420" priority="508" operator="equal">
      <formula>0</formula>
    </cfRule>
  </conditionalFormatting>
  <conditionalFormatting sqref="E73:G73">
    <cfRule type="cellIs" dxfId="419" priority="507" operator="equal">
      <formula>0</formula>
    </cfRule>
  </conditionalFormatting>
  <conditionalFormatting sqref="E74:G74">
    <cfRule type="cellIs" dxfId="418" priority="506" operator="equal">
      <formula>0</formula>
    </cfRule>
  </conditionalFormatting>
  <conditionalFormatting sqref="E74:G74">
    <cfRule type="cellIs" dxfId="417" priority="505" operator="equal">
      <formula>0</formula>
    </cfRule>
  </conditionalFormatting>
  <conditionalFormatting sqref="E63:G63">
    <cfRule type="cellIs" dxfId="416" priority="504" operator="equal">
      <formula>0</formula>
    </cfRule>
  </conditionalFormatting>
  <conditionalFormatting sqref="E62:G62">
    <cfRule type="cellIs" dxfId="415" priority="503" operator="equal">
      <formula>0</formula>
    </cfRule>
  </conditionalFormatting>
  <conditionalFormatting sqref="E64:G64">
    <cfRule type="cellIs" dxfId="414" priority="502" operator="equal">
      <formula>0</formula>
    </cfRule>
  </conditionalFormatting>
  <conditionalFormatting sqref="E63:G63">
    <cfRule type="cellIs" dxfId="413" priority="501" operator="equal">
      <formula>0</formula>
    </cfRule>
  </conditionalFormatting>
  <conditionalFormatting sqref="E59:G59">
    <cfRule type="cellIs" dxfId="412" priority="500" operator="equal">
      <formula>0</formula>
    </cfRule>
  </conditionalFormatting>
  <conditionalFormatting sqref="E59:G59">
    <cfRule type="cellIs" dxfId="411" priority="499" operator="equal">
      <formula>0</formula>
    </cfRule>
  </conditionalFormatting>
  <conditionalFormatting sqref="E59:G59">
    <cfRule type="cellIs" dxfId="410" priority="498" operator="equal">
      <formula>0</formula>
    </cfRule>
  </conditionalFormatting>
  <conditionalFormatting sqref="E59:G59">
    <cfRule type="cellIs" dxfId="409" priority="497" operator="equal">
      <formula>0</formula>
    </cfRule>
  </conditionalFormatting>
  <conditionalFormatting sqref="E69:G69">
    <cfRule type="cellIs" dxfId="408" priority="496" operator="equal">
      <formula>0</formula>
    </cfRule>
  </conditionalFormatting>
  <conditionalFormatting sqref="E70:G70">
    <cfRule type="cellIs" dxfId="407" priority="495" operator="equal">
      <formula>0</formula>
    </cfRule>
  </conditionalFormatting>
  <conditionalFormatting sqref="E70:G70">
    <cfRule type="cellIs" dxfId="406" priority="494" operator="equal">
      <formula>0</formula>
    </cfRule>
  </conditionalFormatting>
  <conditionalFormatting sqref="E72:G72">
    <cfRule type="cellIs" dxfId="405" priority="493" operator="equal">
      <formula>0</formula>
    </cfRule>
  </conditionalFormatting>
  <conditionalFormatting sqref="E72:G72">
    <cfRule type="cellIs" dxfId="404" priority="492" operator="equal">
      <formula>0</formula>
    </cfRule>
  </conditionalFormatting>
  <conditionalFormatting sqref="E52:G52">
    <cfRule type="cellIs" dxfId="403" priority="491" operator="equal">
      <formula>0</formula>
    </cfRule>
  </conditionalFormatting>
  <conditionalFormatting sqref="E35:G35">
    <cfRule type="cellIs" dxfId="402" priority="490" operator="equal">
      <formula>0</formula>
    </cfRule>
  </conditionalFormatting>
  <conditionalFormatting sqref="E50:G50">
    <cfRule type="cellIs" dxfId="401" priority="489" operator="equal">
      <formula>0</formula>
    </cfRule>
  </conditionalFormatting>
  <conditionalFormatting sqref="E59:G59">
    <cfRule type="cellIs" dxfId="400" priority="488" operator="equal">
      <formula>0</formula>
    </cfRule>
  </conditionalFormatting>
  <conditionalFormatting sqref="E52:G52">
    <cfRule type="cellIs" dxfId="399" priority="487" operator="equal">
      <formula>0</formula>
    </cfRule>
  </conditionalFormatting>
  <conditionalFormatting sqref="E72:G72">
    <cfRule type="cellIs" dxfId="398" priority="486" operator="equal">
      <formula>0</formula>
    </cfRule>
  </conditionalFormatting>
  <conditionalFormatting sqref="E73:G73">
    <cfRule type="cellIs" dxfId="397" priority="485" operator="equal">
      <formula>0</formula>
    </cfRule>
  </conditionalFormatting>
  <conditionalFormatting sqref="E73:G73">
    <cfRule type="cellIs" dxfId="396" priority="484" operator="equal">
      <formula>0</formula>
    </cfRule>
  </conditionalFormatting>
  <conditionalFormatting sqref="E74:G74">
    <cfRule type="cellIs" dxfId="395" priority="483" operator="equal">
      <formula>0</formula>
    </cfRule>
  </conditionalFormatting>
  <conditionalFormatting sqref="E74:G74">
    <cfRule type="cellIs" dxfId="394" priority="482" operator="equal">
      <formula>0</formula>
    </cfRule>
  </conditionalFormatting>
  <conditionalFormatting sqref="E62:G62">
    <cfRule type="cellIs" dxfId="393" priority="481" operator="equal">
      <formula>0</formula>
    </cfRule>
  </conditionalFormatting>
  <conditionalFormatting sqref="E59:G59">
    <cfRule type="cellIs" dxfId="392" priority="480" operator="equal">
      <formula>0</formula>
    </cfRule>
  </conditionalFormatting>
  <conditionalFormatting sqref="E63:G63">
    <cfRule type="cellIs" dxfId="391" priority="479" operator="equal">
      <formula>0</formula>
    </cfRule>
  </conditionalFormatting>
  <conditionalFormatting sqref="E62:G62">
    <cfRule type="cellIs" dxfId="390" priority="478" operator="equal">
      <formula>0</formula>
    </cfRule>
  </conditionalFormatting>
  <conditionalFormatting sqref="E56:G56">
    <cfRule type="cellIs" dxfId="389" priority="477" operator="equal">
      <formula>0</formula>
    </cfRule>
  </conditionalFormatting>
  <conditionalFormatting sqref="E71:G71">
    <cfRule type="cellIs" dxfId="388" priority="476" operator="equal">
      <formula>0</formula>
    </cfRule>
  </conditionalFormatting>
  <conditionalFormatting sqref="E69:G69">
    <cfRule type="cellIs" dxfId="387" priority="475" operator="equal">
      <formula>0</formula>
    </cfRule>
  </conditionalFormatting>
  <conditionalFormatting sqref="E71:G71">
    <cfRule type="cellIs" dxfId="386" priority="474" operator="equal">
      <formula>0</formula>
    </cfRule>
  </conditionalFormatting>
  <conditionalFormatting sqref="E71:G71">
    <cfRule type="cellIs" dxfId="385" priority="473" operator="equal">
      <formula>0</formula>
    </cfRule>
  </conditionalFormatting>
  <conditionalFormatting sqref="E63:G63">
    <cfRule type="cellIs" dxfId="384" priority="458" operator="equal">
      <formula>0</formula>
    </cfRule>
  </conditionalFormatting>
  <conditionalFormatting sqref="E72:G72">
    <cfRule type="cellIs" dxfId="383" priority="472" operator="equal">
      <formula>0</formula>
    </cfRule>
  </conditionalFormatting>
  <conditionalFormatting sqref="E72:G72">
    <cfRule type="cellIs" dxfId="382" priority="471" operator="equal">
      <formula>0</formula>
    </cfRule>
  </conditionalFormatting>
  <conditionalFormatting sqref="E52:G52">
    <cfRule type="cellIs" dxfId="381" priority="470" operator="equal">
      <formula>0</formula>
    </cfRule>
  </conditionalFormatting>
  <conditionalFormatting sqref="E35:G35">
    <cfRule type="cellIs" dxfId="380" priority="469" operator="equal">
      <formula>0</formula>
    </cfRule>
  </conditionalFormatting>
  <conditionalFormatting sqref="E50:G50">
    <cfRule type="cellIs" dxfId="379" priority="468" operator="equal">
      <formula>0</formula>
    </cfRule>
  </conditionalFormatting>
  <conditionalFormatting sqref="E59:G59">
    <cfRule type="cellIs" dxfId="378" priority="467" operator="equal">
      <formula>0</formula>
    </cfRule>
  </conditionalFormatting>
  <conditionalFormatting sqref="E52:G52">
    <cfRule type="cellIs" dxfId="377" priority="466" operator="equal">
      <formula>0</formula>
    </cfRule>
  </conditionalFormatting>
  <conditionalFormatting sqref="E72:G72">
    <cfRule type="cellIs" dxfId="376" priority="465" operator="equal">
      <formula>0</formula>
    </cfRule>
  </conditionalFormatting>
  <conditionalFormatting sqref="E73:G73">
    <cfRule type="cellIs" dxfId="375" priority="464" operator="equal">
      <formula>0</formula>
    </cfRule>
  </conditionalFormatting>
  <conditionalFormatting sqref="E74:G74">
    <cfRule type="cellIs" dxfId="374" priority="461" operator="equal">
      <formula>0</formula>
    </cfRule>
  </conditionalFormatting>
  <conditionalFormatting sqref="E62:G62">
    <cfRule type="cellIs" dxfId="373" priority="460" operator="equal">
      <formula>0</formula>
    </cfRule>
  </conditionalFormatting>
  <conditionalFormatting sqref="E59:G59">
    <cfRule type="cellIs" dxfId="372" priority="459" operator="equal">
      <formula>0</formula>
    </cfRule>
  </conditionalFormatting>
  <conditionalFormatting sqref="E62:G62">
    <cfRule type="cellIs" dxfId="371" priority="457" operator="equal">
      <formula>0</formula>
    </cfRule>
  </conditionalFormatting>
  <conditionalFormatting sqref="E56:G56">
    <cfRule type="cellIs" dxfId="370" priority="456" operator="equal">
      <formula>0</formula>
    </cfRule>
  </conditionalFormatting>
  <conditionalFormatting sqref="E65:G65">
    <cfRule type="cellIs" dxfId="369" priority="455" operator="equal">
      <formula>0</formula>
    </cfRule>
  </conditionalFormatting>
  <conditionalFormatting sqref="E69:G69">
    <cfRule type="cellIs" dxfId="368" priority="454" operator="equal">
      <formula>0</formula>
    </cfRule>
  </conditionalFormatting>
  <conditionalFormatting sqref="E69:G69">
    <cfRule type="cellIs" dxfId="367" priority="453" operator="equal">
      <formula>0</formula>
    </cfRule>
  </conditionalFormatting>
  <conditionalFormatting sqref="E71:G71">
    <cfRule type="cellIs" dxfId="366" priority="452" operator="equal">
      <formula>0</formula>
    </cfRule>
  </conditionalFormatting>
  <conditionalFormatting sqref="E71:G71">
    <cfRule type="cellIs" dxfId="365" priority="451" operator="equal">
      <formula>0</formula>
    </cfRule>
  </conditionalFormatting>
  <conditionalFormatting sqref="E50:G50">
    <cfRule type="cellIs" dxfId="364" priority="450" operator="equal">
      <formula>0</formula>
    </cfRule>
  </conditionalFormatting>
  <conditionalFormatting sqref="E46:G48">
    <cfRule type="cellIs" dxfId="363" priority="448" operator="equal">
      <formula>0</formula>
    </cfRule>
  </conditionalFormatting>
  <conditionalFormatting sqref="E70:G70">
    <cfRule type="cellIs" dxfId="362" priority="376" operator="equal">
      <formula>0</formula>
    </cfRule>
  </conditionalFormatting>
  <conditionalFormatting sqref="E50:G50">
    <cfRule type="cellIs" dxfId="361" priority="447" operator="equal">
      <formula>0</formula>
    </cfRule>
  </conditionalFormatting>
  <conditionalFormatting sqref="E71:G71">
    <cfRule type="cellIs" dxfId="360" priority="446" operator="equal">
      <formula>0</formula>
    </cfRule>
  </conditionalFormatting>
  <conditionalFormatting sqref="E72:G72">
    <cfRule type="cellIs" dxfId="359" priority="445" operator="equal">
      <formula>0</formula>
    </cfRule>
  </conditionalFormatting>
  <conditionalFormatting sqref="E72:G72">
    <cfRule type="cellIs" dxfId="358" priority="444" operator="equal">
      <formula>0</formula>
    </cfRule>
  </conditionalFormatting>
  <conditionalFormatting sqref="E73:G73">
    <cfRule type="cellIs" dxfId="357" priority="443" operator="equal">
      <formula>0</formula>
    </cfRule>
  </conditionalFormatting>
  <conditionalFormatting sqref="E73:G73">
    <cfRule type="cellIs" dxfId="356" priority="442" operator="equal">
      <formula>0</formula>
    </cfRule>
  </conditionalFormatting>
  <conditionalFormatting sqref="E59:G59">
    <cfRule type="cellIs" dxfId="355" priority="441" operator="equal">
      <formula>0</formula>
    </cfRule>
  </conditionalFormatting>
  <conditionalFormatting sqref="E62:G62">
    <cfRule type="cellIs" dxfId="354" priority="440" operator="equal">
      <formula>0</formula>
    </cfRule>
  </conditionalFormatting>
  <conditionalFormatting sqref="E59:G59">
    <cfRule type="cellIs" dxfId="353" priority="439" operator="equal">
      <formula>0</formula>
    </cfRule>
  </conditionalFormatting>
  <conditionalFormatting sqref="E52:G52">
    <cfRule type="cellIs" dxfId="352" priority="438" operator="equal">
      <formula>0</formula>
    </cfRule>
  </conditionalFormatting>
  <conditionalFormatting sqref="E52:G52">
    <cfRule type="cellIs" dxfId="351" priority="437" operator="equal">
      <formula>0</formula>
    </cfRule>
  </conditionalFormatting>
  <conditionalFormatting sqref="E52:G52">
    <cfRule type="cellIs" dxfId="350" priority="436" operator="equal">
      <formula>0</formula>
    </cfRule>
  </conditionalFormatting>
  <conditionalFormatting sqref="E52:G52">
    <cfRule type="cellIs" dxfId="349" priority="435" operator="equal">
      <formula>0</formula>
    </cfRule>
  </conditionalFormatting>
  <conditionalFormatting sqref="E70:G70">
    <cfRule type="cellIs" dxfId="348" priority="434" operator="equal">
      <formula>0</formula>
    </cfRule>
  </conditionalFormatting>
  <conditionalFormatting sqref="E61:G61">
    <cfRule type="cellIs" dxfId="347" priority="432" operator="equal">
      <formula>0</formula>
    </cfRule>
  </conditionalFormatting>
  <conditionalFormatting sqref="E61:G61">
    <cfRule type="cellIs" dxfId="346" priority="431" operator="equal">
      <formula>0</formula>
    </cfRule>
  </conditionalFormatting>
  <conditionalFormatting sqref="E61:G61">
    <cfRule type="cellIs" dxfId="345" priority="433" operator="equal">
      <formula>0</formula>
    </cfRule>
  </conditionalFormatting>
  <conditionalFormatting sqref="E61:G61">
    <cfRule type="cellIs" dxfId="344" priority="430" operator="equal">
      <formula>0</formula>
    </cfRule>
  </conditionalFormatting>
  <conditionalFormatting sqref="E61:G61">
    <cfRule type="cellIs" dxfId="343" priority="429" operator="equal">
      <formula>0</formula>
    </cfRule>
  </conditionalFormatting>
  <conditionalFormatting sqref="E61:G61">
    <cfRule type="cellIs" dxfId="342" priority="428" operator="equal">
      <formula>0</formula>
    </cfRule>
  </conditionalFormatting>
  <conditionalFormatting sqref="E61:G61">
    <cfRule type="cellIs" dxfId="341" priority="427" operator="equal">
      <formula>0</formula>
    </cfRule>
  </conditionalFormatting>
  <conditionalFormatting sqref="E61:G61">
    <cfRule type="cellIs" dxfId="340" priority="426" operator="equal">
      <formula>0</formula>
    </cfRule>
  </conditionalFormatting>
  <conditionalFormatting sqref="E61:G61">
    <cfRule type="cellIs" dxfId="339" priority="425" operator="equal">
      <formula>0</formula>
    </cfRule>
  </conditionalFormatting>
  <conditionalFormatting sqref="E61:G61">
    <cfRule type="cellIs" dxfId="338" priority="424" operator="equal">
      <formula>0</formula>
    </cfRule>
  </conditionalFormatting>
  <conditionalFormatting sqref="E61:G61">
    <cfRule type="cellIs" dxfId="337" priority="423" operator="equal">
      <formula>0</formula>
    </cfRule>
  </conditionalFormatting>
  <conditionalFormatting sqref="E61:G61">
    <cfRule type="cellIs" dxfId="336" priority="422" operator="equal">
      <formula>0</formula>
    </cfRule>
  </conditionalFormatting>
  <conditionalFormatting sqref="E61:G61">
    <cfRule type="cellIs" dxfId="335" priority="421" operator="equal">
      <formula>0</formula>
    </cfRule>
  </conditionalFormatting>
  <conditionalFormatting sqref="E78:G78">
    <cfRule type="cellIs" dxfId="334" priority="420" operator="equal">
      <formula>0</formula>
    </cfRule>
  </conditionalFormatting>
  <conditionalFormatting sqref="E78:G78">
    <cfRule type="cellIs" dxfId="333" priority="419" operator="equal">
      <formula>0</formula>
    </cfRule>
  </conditionalFormatting>
  <conditionalFormatting sqref="E58:G58">
    <cfRule type="cellIs" dxfId="332" priority="418" operator="equal">
      <formula>0</formula>
    </cfRule>
  </conditionalFormatting>
  <conditionalFormatting sqref="E69:G69">
    <cfRule type="cellIs" dxfId="331" priority="417" operator="equal">
      <formula>0</formula>
    </cfRule>
  </conditionalFormatting>
  <conditionalFormatting sqref="E71:G71">
    <cfRule type="cellIs" dxfId="330" priority="416" operator="equal">
      <formula>0</formula>
    </cfRule>
  </conditionalFormatting>
  <conditionalFormatting sqref="E71:G71">
    <cfRule type="cellIs" dxfId="329" priority="415" operator="equal">
      <formula>0</formula>
    </cfRule>
  </conditionalFormatting>
  <conditionalFormatting sqref="E72:G72">
    <cfRule type="cellIs" dxfId="328" priority="414" operator="equal">
      <formula>0</formula>
    </cfRule>
  </conditionalFormatting>
  <conditionalFormatting sqref="E72:G72">
    <cfRule type="cellIs" dxfId="327" priority="413" operator="equal">
      <formula>0</formula>
    </cfRule>
  </conditionalFormatting>
  <conditionalFormatting sqref="E35:G35">
    <cfRule type="cellIs" dxfId="326" priority="412" operator="equal">
      <formula>0</formula>
    </cfRule>
  </conditionalFormatting>
  <conditionalFormatting sqref="E50:G50">
    <cfRule type="cellIs" dxfId="325" priority="411" operator="equal">
      <formula>0</formula>
    </cfRule>
  </conditionalFormatting>
  <conditionalFormatting sqref="E61:G61">
    <cfRule type="cellIs" dxfId="324" priority="410" operator="equal">
      <formula>0</formula>
    </cfRule>
  </conditionalFormatting>
  <conditionalFormatting sqref="E72:G72">
    <cfRule type="cellIs" dxfId="323" priority="409" operator="equal">
      <formula>0</formula>
    </cfRule>
  </conditionalFormatting>
  <conditionalFormatting sqref="E73:G73">
    <cfRule type="cellIs" dxfId="322" priority="408" operator="equal">
      <formula>0</formula>
    </cfRule>
  </conditionalFormatting>
  <conditionalFormatting sqref="E73:G73">
    <cfRule type="cellIs" dxfId="321" priority="407" operator="equal">
      <formula>0</formula>
    </cfRule>
  </conditionalFormatting>
  <conditionalFormatting sqref="E62:G62">
    <cfRule type="cellIs" dxfId="320" priority="406" operator="equal">
      <formula>0</formula>
    </cfRule>
  </conditionalFormatting>
  <conditionalFormatting sqref="E61:G61">
    <cfRule type="cellIs" dxfId="319" priority="405" operator="equal">
      <formula>0</formula>
    </cfRule>
  </conditionalFormatting>
  <conditionalFormatting sqref="E63:G63">
    <cfRule type="cellIs" dxfId="318" priority="404" operator="equal">
      <formula>0</formula>
    </cfRule>
  </conditionalFormatting>
  <conditionalFormatting sqref="E62:G62">
    <cfRule type="cellIs" dxfId="317" priority="403" operator="equal">
      <formula>0</formula>
    </cfRule>
  </conditionalFormatting>
  <conditionalFormatting sqref="E58:G58">
    <cfRule type="cellIs" dxfId="316" priority="402" operator="equal">
      <formula>0</formula>
    </cfRule>
  </conditionalFormatting>
  <conditionalFormatting sqref="E58:G58">
    <cfRule type="cellIs" dxfId="315" priority="401" operator="equal">
      <formula>0</formula>
    </cfRule>
  </conditionalFormatting>
  <conditionalFormatting sqref="E58:G58">
    <cfRule type="cellIs" dxfId="314" priority="400" operator="equal">
      <formula>0</formula>
    </cfRule>
  </conditionalFormatting>
  <conditionalFormatting sqref="E58:G58">
    <cfRule type="cellIs" dxfId="313" priority="399" operator="equal">
      <formula>0</formula>
    </cfRule>
  </conditionalFormatting>
  <conditionalFormatting sqref="E65:G65">
    <cfRule type="cellIs" dxfId="312" priority="398" operator="equal">
      <formula>0</formula>
    </cfRule>
  </conditionalFormatting>
  <conditionalFormatting sqref="E69:G69">
    <cfRule type="cellIs" dxfId="311" priority="397" operator="equal">
      <formula>0</formula>
    </cfRule>
  </conditionalFormatting>
  <conditionalFormatting sqref="E69:G69">
    <cfRule type="cellIs" dxfId="310" priority="396" operator="equal">
      <formula>0</formula>
    </cfRule>
  </conditionalFormatting>
  <conditionalFormatting sqref="E71:G71">
    <cfRule type="cellIs" dxfId="309" priority="395" operator="equal">
      <formula>0</formula>
    </cfRule>
  </conditionalFormatting>
  <conditionalFormatting sqref="E71:G71">
    <cfRule type="cellIs" dxfId="308" priority="394" operator="equal">
      <formula>0</formula>
    </cfRule>
  </conditionalFormatting>
  <conditionalFormatting sqref="E50:G50">
    <cfRule type="cellIs" dxfId="307" priority="393" operator="equal">
      <formula>0</formula>
    </cfRule>
  </conditionalFormatting>
  <conditionalFormatting sqref="E46:G48">
    <cfRule type="cellIs" dxfId="306" priority="391" operator="equal">
      <formula>0</formula>
    </cfRule>
  </conditionalFormatting>
  <conditionalFormatting sqref="E37:G37">
    <cfRule type="cellIs" dxfId="305" priority="319" operator="equal">
      <formula>0</formula>
    </cfRule>
  </conditionalFormatting>
  <conditionalFormatting sqref="E58:G58">
    <cfRule type="cellIs" dxfId="304" priority="390" operator="equal">
      <formula>0</formula>
    </cfRule>
  </conditionalFormatting>
  <conditionalFormatting sqref="E50:G50">
    <cfRule type="cellIs" dxfId="303" priority="389" operator="equal">
      <formula>0</formula>
    </cfRule>
  </conditionalFormatting>
  <conditionalFormatting sqref="E71:G71">
    <cfRule type="cellIs" dxfId="302" priority="388" operator="equal">
      <formula>0</formula>
    </cfRule>
  </conditionalFormatting>
  <conditionalFormatting sqref="E72:G72">
    <cfRule type="cellIs" dxfId="301" priority="387" operator="equal">
      <formula>0</formula>
    </cfRule>
  </conditionalFormatting>
  <conditionalFormatting sqref="E72:G72">
    <cfRule type="cellIs" dxfId="300" priority="386" operator="equal">
      <formula>0</formula>
    </cfRule>
  </conditionalFormatting>
  <conditionalFormatting sqref="E73:G73">
    <cfRule type="cellIs" dxfId="299" priority="385" operator="equal">
      <formula>0</formula>
    </cfRule>
  </conditionalFormatting>
  <conditionalFormatting sqref="E73:G73">
    <cfRule type="cellIs" dxfId="298" priority="384" operator="equal">
      <formula>0</formula>
    </cfRule>
  </conditionalFormatting>
  <conditionalFormatting sqref="E61:G61">
    <cfRule type="cellIs" dxfId="297" priority="383" operator="equal">
      <formula>0</formula>
    </cfRule>
  </conditionalFormatting>
  <conditionalFormatting sqref="E58:G58">
    <cfRule type="cellIs" dxfId="296" priority="382" operator="equal">
      <formula>0</formula>
    </cfRule>
  </conditionalFormatting>
  <conditionalFormatting sqref="E62:G62">
    <cfRule type="cellIs" dxfId="295" priority="381" operator="equal">
      <formula>0</formula>
    </cfRule>
  </conditionalFormatting>
  <conditionalFormatting sqref="E61:G61">
    <cfRule type="cellIs" dxfId="294" priority="380" operator="equal">
      <formula>0</formula>
    </cfRule>
  </conditionalFormatting>
  <conditionalFormatting sqref="E52:G52">
    <cfRule type="cellIs" dxfId="293" priority="379" operator="equal">
      <formula>0</formula>
    </cfRule>
  </conditionalFormatting>
  <conditionalFormatting sqref="E70:G70">
    <cfRule type="cellIs" dxfId="292" priority="378" operator="equal">
      <formula>0</formula>
    </cfRule>
  </conditionalFormatting>
  <conditionalFormatting sqref="E65:G65">
    <cfRule type="cellIs" dxfId="291" priority="377" operator="equal">
      <formula>0</formula>
    </cfRule>
  </conditionalFormatting>
  <conditionalFormatting sqref="E70:G70">
    <cfRule type="cellIs" dxfId="290" priority="375" operator="equal">
      <formula>0</formula>
    </cfRule>
  </conditionalFormatting>
  <conditionalFormatting sqref="E62:G62">
    <cfRule type="cellIs" dxfId="289" priority="360" operator="equal">
      <formula>0</formula>
    </cfRule>
  </conditionalFormatting>
  <conditionalFormatting sqref="E71:G71">
    <cfRule type="cellIs" dxfId="288" priority="374" operator="equal">
      <formula>0</formula>
    </cfRule>
  </conditionalFormatting>
  <conditionalFormatting sqref="E71:G71">
    <cfRule type="cellIs" dxfId="287" priority="373" operator="equal">
      <formula>0</formula>
    </cfRule>
  </conditionalFormatting>
  <conditionalFormatting sqref="E50:G50">
    <cfRule type="cellIs" dxfId="286" priority="372" operator="equal">
      <formula>0</formula>
    </cfRule>
  </conditionalFormatting>
  <conditionalFormatting sqref="E46:G48">
    <cfRule type="cellIs" dxfId="285" priority="370" operator="equal">
      <formula>0</formula>
    </cfRule>
  </conditionalFormatting>
  <conditionalFormatting sqref="E57:G57">
    <cfRule type="cellIs" dxfId="284" priority="298" operator="equal">
      <formula>0</formula>
    </cfRule>
  </conditionalFormatting>
  <conditionalFormatting sqref="E58:G58">
    <cfRule type="cellIs" dxfId="283" priority="369" operator="equal">
      <formula>0</formula>
    </cfRule>
  </conditionalFormatting>
  <conditionalFormatting sqref="E50:G50">
    <cfRule type="cellIs" dxfId="282" priority="368" operator="equal">
      <formula>0</formula>
    </cfRule>
  </conditionalFormatting>
  <conditionalFormatting sqref="E71:G71">
    <cfRule type="cellIs" dxfId="281" priority="367" operator="equal">
      <formula>0</formula>
    </cfRule>
  </conditionalFormatting>
  <conditionalFormatting sqref="E72:G72">
    <cfRule type="cellIs" dxfId="280" priority="366" operator="equal">
      <formula>0</formula>
    </cfRule>
  </conditionalFormatting>
  <conditionalFormatting sqref="E72:G72">
    <cfRule type="cellIs" dxfId="279" priority="365" operator="equal">
      <formula>0</formula>
    </cfRule>
  </conditionalFormatting>
  <conditionalFormatting sqref="E73:G73">
    <cfRule type="cellIs" dxfId="278" priority="364" operator="equal">
      <formula>0</formula>
    </cfRule>
  </conditionalFormatting>
  <conditionalFormatting sqref="E73:G73">
    <cfRule type="cellIs" dxfId="277" priority="363" operator="equal">
      <formula>0</formula>
    </cfRule>
  </conditionalFormatting>
  <conditionalFormatting sqref="E61:G61">
    <cfRule type="cellIs" dxfId="276" priority="362" operator="equal">
      <formula>0</formula>
    </cfRule>
  </conditionalFormatting>
  <conditionalFormatting sqref="E58:G58">
    <cfRule type="cellIs" dxfId="275" priority="361" operator="equal">
      <formula>0</formula>
    </cfRule>
  </conditionalFormatting>
  <conditionalFormatting sqref="E61:G61">
    <cfRule type="cellIs" dxfId="274" priority="359" operator="equal">
      <formula>0</formula>
    </cfRule>
  </conditionalFormatting>
  <conditionalFormatting sqref="E52:G52">
    <cfRule type="cellIs" dxfId="273" priority="358" operator="equal">
      <formula>0</formula>
    </cfRule>
  </conditionalFormatting>
  <conditionalFormatting sqref="E64:G64">
    <cfRule type="cellIs" dxfId="272" priority="357" operator="equal">
      <formula>0</formula>
    </cfRule>
  </conditionalFormatting>
  <conditionalFormatting sqref="E65:G65">
    <cfRule type="cellIs" dxfId="271" priority="356" operator="equal">
      <formula>0</formula>
    </cfRule>
  </conditionalFormatting>
  <conditionalFormatting sqref="E65:G65">
    <cfRule type="cellIs" dxfId="270" priority="355" operator="equal">
      <formula>0</formula>
    </cfRule>
  </conditionalFormatting>
  <conditionalFormatting sqref="E70:G70">
    <cfRule type="cellIs" dxfId="269" priority="354" operator="equal">
      <formula>0</formula>
    </cfRule>
  </conditionalFormatting>
  <conditionalFormatting sqref="E70:G70">
    <cfRule type="cellIs" dxfId="268" priority="353" operator="equal">
      <formula>0</formula>
    </cfRule>
  </conditionalFormatting>
  <conditionalFormatting sqref="E46:G48">
    <cfRule type="cellIs" dxfId="267" priority="352" operator="equal">
      <formula>0</formula>
    </cfRule>
  </conditionalFormatting>
  <conditionalFormatting sqref="E30:G30">
    <cfRule type="cellIs" dxfId="266" priority="351" operator="equal">
      <formula>0</formula>
    </cfRule>
  </conditionalFormatting>
  <conditionalFormatting sqref="E44:G44">
    <cfRule type="cellIs" dxfId="265" priority="350" operator="equal">
      <formula>0</formula>
    </cfRule>
  </conditionalFormatting>
  <conditionalFormatting sqref="E46:G48">
    <cfRule type="cellIs" dxfId="264" priority="349" operator="equal">
      <formula>0</formula>
    </cfRule>
  </conditionalFormatting>
  <conditionalFormatting sqref="E70:G70">
    <cfRule type="cellIs" dxfId="263" priority="348" operator="equal">
      <formula>0</formula>
    </cfRule>
  </conditionalFormatting>
  <conditionalFormatting sqref="E71:G71">
    <cfRule type="cellIs" dxfId="262" priority="347" operator="equal">
      <formula>0</formula>
    </cfRule>
  </conditionalFormatting>
  <conditionalFormatting sqref="E71:G71">
    <cfRule type="cellIs" dxfId="261" priority="346" operator="equal">
      <formula>0</formula>
    </cfRule>
  </conditionalFormatting>
  <conditionalFormatting sqref="E72:G72">
    <cfRule type="cellIs" dxfId="260" priority="345" operator="equal">
      <formula>0</formula>
    </cfRule>
  </conditionalFormatting>
  <conditionalFormatting sqref="E72:G72">
    <cfRule type="cellIs" dxfId="259" priority="344" operator="equal">
      <formula>0</formula>
    </cfRule>
  </conditionalFormatting>
  <conditionalFormatting sqref="E58:G58">
    <cfRule type="cellIs" dxfId="258" priority="343" operator="equal">
      <formula>0</formula>
    </cfRule>
  </conditionalFormatting>
  <conditionalFormatting sqref="E61:G61">
    <cfRule type="cellIs" dxfId="257" priority="342" operator="equal">
      <formula>0</formula>
    </cfRule>
  </conditionalFormatting>
  <conditionalFormatting sqref="E58:G58">
    <cfRule type="cellIs" dxfId="256" priority="341" operator="equal">
      <formula>0</formula>
    </cfRule>
  </conditionalFormatting>
  <conditionalFormatting sqref="E50:G50">
    <cfRule type="cellIs" dxfId="255" priority="340" operator="equal">
      <formula>0</formula>
    </cfRule>
  </conditionalFormatting>
  <conditionalFormatting sqref="E50:G50">
    <cfRule type="cellIs" dxfId="254" priority="339" operator="equal">
      <formula>0</formula>
    </cfRule>
  </conditionalFormatting>
  <conditionalFormatting sqref="E50:G50">
    <cfRule type="cellIs" dxfId="253" priority="338" operator="equal">
      <formula>0</formula>
    </cfRule>
  </conditionalFormatting>
  <conditionalFormatting sqref="E50:G50">
    <cfRule type="cellIs" dxfId="252" priority="337" operator="equal">
      <formula>0</formula>
    </cfRule>
  </conditionalFormatting>
  <conditionalFormatting sqref="E69:G69">
    <cfRule type="cellIs" dxfId="251" priority="336" operator="equal">
      <formula>0</formula>
    </cfRule>
  </conditionalFormatting>
  <conditionalFormatting sqref="E59:G59">
    <cfRule type="cellIs" dxfId="250" priority="334" operator="equal">
      <formula>0</formula>
    </cfRule>
  </conditionalFormatting>
  <conditionalFormatting sqref="E59:G59">
    <cfRule type="cellIs" dxfId="249" priority="333" operator="equal">
      <formula>0</formula>
    </cfRule>
  </conditionalFormatting>
  <conditionalFormatting sqref="E59:G59">
    <cfRule type="cellIs" dxfId="248" priority="335" operator="equal">
      <formula>0</formula>
    </cfRule>
  </conditionalFormatting>
  <conditionalFormatting sqref="E59:G59">
    <cfRule type="cellIs" dxfId="247" priority="332" operator="equal">
      <formula>0</formula>
    </cfRule>
  </conditionalFormatting>
  <conditionalFormatting sqref="E59:G59">
    <cfRule type="cellIs" dxfId="246" priority="331" operator="equal">
      <formula>0</formula>
    </cfRule>
  </conditionalFormatting>
  <conditionalFormatting sqref="E59:G59">
    <cfRule type="cellIs" dxfId="245" priority="330" operator="equal">
      <formula>0</formula>
    </cfRule>
  </conditionalFormatting>
  <conditionalFormatting sqref="E59:G59">
    <cfRule type="cellIs" dxfId="244" priority="329" operator="equal">
      <formula>0</formula>
    </cfRule>
  </conditionalFormatting>
  <conditionalFormatting sqref="E59:G59">
    <cfRule type="cellIs" dxfId="243" priority="328" operator="equal">
      <formula>0</formula>
    </cfRule>
  </conditionalFormatting>
  <conditionalFormatting sqref="E59:G59">
    <cfRule type="cellIs" dxfId="242" priority="327" operator="equal">
      <formula>0</formula>
    </cfRule>
  </conditionalFormatting>
  <conditionalFormatting sqref="E59:G59">
    <cfRule type="cellIs" dxfId="241" priority="326" operator="equal">
      <formula>0</formula>
    </cfRule>
  </conditionalFormatting>
  <conditionalFormatting sqref="E59:G59">
    <cfRule type="cellIs" dxfId="240" priority="325" operator="equal">
      <formula>0</formula>
    </cfRule>
  </conditionalFormatting>
  <conditionalFormatting sqref="E59:G59">
    <cfRule type="cellIs" dxfId="239" priority="324" operator="equal">
      <formula>0</formula>
    </cfRule>
  </conditionalFormatting>
  <conditionalFormatting sqref="E59:G59">
    <cfRule type="cellIs" dxfId="238" priority="323" operator="equal">
      <formula>0</formula>
    </cfRule>
  </conditionalFormatting>
  <conditionalFormatting sqref="E77:G77">
    <cfRule type="cellIs" dxfId="237" priority="322" operator="equal">
      <formula>0</formula>
    </cfRule>
  </conditionalFormatting>
  <conditionalFormatting sqref="E77:G77">
    <cfRule type="cellIs" dxfId="236" priority="321" operator="equal">
      <formula>0</formula>
    </cfRule>
  </conditionalFormatting>
  <conditionalFormatting sqref="E56:G56">
    <cfRule type="cellIs" dxfId="235" priority="320" operator="equal">
      <formula>0</formula>
    </cfRule>
  </conditionalFormatting>
  <conditionalFormatting sqref="E37:G37">
    <cfRule type="cellIs" dxfId="234" priority="317" operator="equal">
      <formula>0</formula>
    </cfRule>
  </conditionalFormatting>
  <conditionalFormatting sqref="E37:G37">
    <cfRule type="cellIs" dxfId="233" priority="318" operator="equal">
      <formula>0</formula>
    </cfRule>
  </conditionalFormatting>
  <conditionalFormatting sqref="E39:G39">
    <cfRule type="cellIs" dxfId="232" priority="314" operator="equal">
      <formula>0</formula>
    </cfRule>
  </conditionalFormatting>
  <conditionalFormatting sqref="E39:G39">
    <cfRule type="cellIs" dxfId="231" priority="316" operator="equal">
      <formula>0</formula>
    </cfRule>
  </conditionalFormatting>
  <conditionalFormatting sqref="E39:G39">
    <cfRule type="cellIs" dxfId="230" priority="315" operator="equal">
      <formula>0</formula>
    </cfRule>
  </conditionalFormatting>
  <conditionalFormatting sqref="E38:G38">
    <cfRule type="cellIs" dxfId="229" priority="311" operator="equal">
      <formula>0</formula>
    </cfRule>
  </conditionalFormatting>
  <conditionalFormatting sqref="E38:G38">
    <cfRule type="cellIs" dxfId="228" priority="313" operator="equal">
      <formula>0</formula>
    </cfRule>
  </conditionalFormatting>
  <conditionalFormatting sqref="E38:G38">
    <cfRule type="cellIs" dxfId="227" priority="312" operator="equal">
      <formula>0</formula>
    </cfRule>
  </conditionalFormatting>
  <conditionalFormatting sqref="E57:G57">
    <cfRule type="cellIs" dxfId="226" priority="310" operator="equal">
      <formula>0</formula>
    </cfRule>
  </conditionalFormatting>
  <conditionalFormatting sqref="E57:G57">
    <cfRule type="cellIs" dxfId="225" priority="308" operator="equal">
      <formula>0</formula>
    </cfRule>
  </conditionalFormatting>
  <conditionalFormatting sqref="E57:G57">
    <cfRule type="cellIs" dxfId="224" priority="309" operator="equal">
      <formula>0</formula>
    </cfRule>
  </conditionalFormatting>
  <conditionalFormatting sqref="E57:G57">
    <cfRule type="cellIs" dxfId="223" priority="307" operator="equal">
      <formula>0</formula>
    </cfRule>
  </conditionalFormatting>
  <conditionalFormatting sqref="E57:G57">
    <cfRule type="cellIs" dxfId="222" priority="306" operator="equal">
      <formula>0</formula>
    </cfRule>
  </conditionalFormatting>
  <conditionalFormatting sqref="E57:G57">
    <cfRule type="cellIs" dxfId="221" priority="305" operator="equal">
      <formula>0</formula>
    </cfRule>
  </conditionalFormatting>
  <conditionalFormatting sqref="E57:G57">
    <cfRule type="cellIs" dxfId="220" priority="304" operator="equal">
      <formula>0</formula>
    </cfRule>
  </conditionalFormatting>
  <conditionalFormatting sqref="E57:G57">
    <cfRule type="cellIs" dxfId="219" priority="303" operator="equal">
      <formula>0</formula>
    </cfRule>
  </conditionalFormatting>
  <conditionalFormatting sqref="E57:G57">
    <cfRule type="cellIs" dxfId="218" priority="302" operator="equal">
      <formula>0</formula>
    </cfRule>
  </conditionalFormatting>
  <conditionalFormatting sqref="E57:G57">
    <cfRule type="cellIs" dxfId="217" priority="301" operator="equal">
      <formula>0</formula>
    </cfRule>
  </conditionalFormatting>
  <conditionalFormatting sqref="E57:G57">
    <cfRule type="cellIs" dxfId="216" priority="300" operator="equal">
      <formula>0</formula>
    </cfRule>
  </conditionalFormatting>
  <conditionalFormatting sqref="E57:G57">
    <cfRule type="cellIs" dxfId="215" priority="299" operator="equal">
      <formula>0</formula>
    </cfRule>
  </conditionalFormatting>
  <conditionalFormatting sqref="E57:G57">
    <cfRule type="cellIs" dxfId="214" priority="297" operator="equal">
      <formula>0</formula>
    </cfRule>
  </conditionalFormatting>
  <conditionalFormatting sqref="E76:G76">
    <cfRule type="cellIs" dxfId="213" priority="296" operator="equal">
      <formula>0</formula>
    </cfRule>
  </conditionalFormatting>
  <conditionalFormatting sqref="E60:G60">
    <cfRule type="cellIs" dxfId="212" priority="295" operator="equal">
      <formula>0</formula>
    </cfRule>
  </conditionalFormatting>
  <conditionalFormatting sqref="E51:G51">
    <cfRule type="cellIs" dxfId="211" priority="294" operator="equal">
      <formula>0</formula>
    </cfRule>
  </conditionalFormatting>
  <conditionalFormatting sqref="E32:G32">
    <cfRule type="cellIs" dxfId="210" priority="290" operator="equal">
      <formula>0</formula>
    </cfRule>
  </conditionalFormatting>
  <conditionalFormatting sqref="D49">
    <cfRule type="cellIs" dxfId="209" priority="293" operator="equal">
      <formula>0</formula>
    </cfRule>
  </conditionalFormatting>
  <conditionalFormatting sqref="E49:G49">
    <cfRule type="cellIs" dxfId="208" priority="292" operator="equal">
      <formula>0</formula>
    </cfRule>
  </conditionalFormatting>
  <conditionalFormatting sqref="D32">
    <cfRule type="cellIs" dxfId="207" priority="291" operator="equal">
      <formula>0</formula>
    </cfRule>
  </conditionalFormatting>
  <conditionalFormatting sqref="D66:G66">
    <cfRule type="cellIs" dxfId="206" priority="289" operator="equal">
      <formula>0</formula>
    </cfRule>
  </conditionalFormatting>
  <conditionalFormatting sqref="D22:G22">
    <cfRule type="cellIs" dxfId="205" priority="288" operator="equal">
      <formula>0</formula>
    </cfRule>
  </conditionalFormatting>
  <conditionalFormatting sqref="D92:G92">
    <cfRule type="cellIs" dxfId="204" priority="287" operator="equal">
      <formula>0</formula>
    </cfRule>
  </conditionalFormatting>
  <conditionalFormatting sqref="D93:G93">
    <cfRule type="cellIs" dxfId="203" priority="286" operator="equal">
      <formula>0</formula>
    </cfRule>
  </conditionalFormatting>
  <conditionalFormatting sqref="D94:G94">
    <cfRule type="cellIs" dxfId="202" priority="285" operator="equal">
      <formula>0</formula>
    </cfRule>
  </conditionalFormatting>
  <conditionalFormatting sqref="D95:G95">
    <cfRule type="cellIs" dxfId="201" priority="284" operator="equal">
      <formula>0</formula>
    </cfRule>
  </conditionalFormatting>
  <conditionalFormatting sqref="D96:G96">
    <cfRule type="cellIs" dxfId="200" priority="283" operator="equal">
      <formula>0</formula>
    </cfRule>
  </conditionalFormatting>
  <conditionalFormatting sqref="D97:G97">
    <cfRule type="cellIs" dxfId="199" priority="282" operator="equal">
      <formula>0</formula>
    </cfRule>
  </conditionalFormatting>
  <conditionalFormatting sqref="D29:G29">
    <cfRule type="cellIs" dxfId="198" priority="281" operator="equal">
      <formula>0</formula>
    </cfRule>
  </conditionalFormatting>
  <conditionalFormatting sqref="D41:G41">
    <cfRule type="cellIs" dxfId="197" priority="280" operator="equal">
      <formula>0</formula>
    </cfRule>
  </conditionalFormatting>
  <conditionalFormatting sqref="I32">
    <cfRule type="cellIs" dxfId="196" priority="279" operator="equal">
      <formula>0</formula>
    </cfRule>
  </conditionalFormatting>
  <conditionalFormatting sqref="E55:G55">
    <cfRule type="cellIs" dxfId="195" priority="274" operator="equal">
      <formula>0</formula>
    </cfRule>
  </conditionalFormatting>
  <conditionalFormatting sqref="D53:G53 D54:D55">
    <cfRule type="cellIs" dxfId="194" priority="275" operator="equal">
      <formula>0</formula>
    </cfRule>
  </conditionalFormatting>
  <conditionalFormatting sqref="D33:G33">
    <cfRule type="cellIs" dxfId="193" priority="237" operator="equal">
      <formula>0</formula>
    </cfRule>
  </conditionalFormatting>
  <conditionalFormatting sqref="E38:G38">
    <cfRule type="cellIs" dxfId="192" priority="273" operator="equal">
      <formula>0</formula>
    </cfRule>
  </conditionalFormatting>
  <conditionalFormatting sqref="E37:G37">
    <cfRule type="cellIs" dxfId="191" priority="272" operator="equal">
      <formula>0</formula>
    </cfRule>
  </conditionalFormatting>
  <conditionalFormatting sqref="E37:G37">
    <cfRule type="cellIs" dxfId="190" priority="271" operator="equal">
      <formula>0</formula>
    </cfRule>
  </conditionalFormatting>
  <conditionalFormatting sqref="E36:G36">
    <cfRule type="cellIs" dxfId="189" priority="270" operator="equal">
      <formula>0</formula>
    </cfRule>
  </conditionalFormatting>
  <conditionalFormatting sqref="E37:G37">
    <cfRule type="cellIs" dxfId="188" priority="269" operator="equal">
      <formula>0</formula>
    </cfRule>
  </conditionalFormatting>
  <conditionalFormatting sqref="E36:G36">
    <cfRule type="cellIs" dxfId="187" priority="268" operator="equal">
      <formula>0</formula>
    </cfRule>
  </conditionalFormatting>
  <conditionalFormatting sqref="E36:G36">
    <cfRule type="cellIs" dxfId="186" priority="267" operator="equal">
      <formula>0</formula>
    </cfRule>
  </conditionalFormatting>
  <conditionalFormatting sqref="E39:G39">
    <cfRule type="cellIs" dxfId="185" priority="264" operator="equal">
      <formula>0</formula>
    </cfRule>
  </conditionalFormatting>
  <conditionalFormatting sqref="E39:G39">
    <cfRule type="cellIs" dxfId="184" priority="266" operator="equal">
      <formula>0</formula>
    </cfRule>
  </conditionalFormatting>
  <conditionalFormatting sqref="E39:G39">
    <cfRule type="cellIs" dxfId="183" priority="265" operator="equal">
      <formula>0</formula>
    </cfRule>
  </conditionalFormatting>
  <conditionalFormatting sqref="E41:G41">
    <cfRule type="cellIs" dxfId="182" priority="261" operator="equal">
      <formula>0</formula>
    </cfRule>
  </conditionalFormatting>
  <conditionalFormatting sqref="E41:G41">
    <cfRule type="cellIs" dxfId="181" priority="263" operator="equal">
      <formula>0</formula>
    </cfRule>
  </conditionalFormatting>
  <conditionalFormatting sqref="E41:G41">
    <cfRule type="cellIs" dxfId="180" priority="262" operator="equal">
      <formula>0</formula>
    </cfRule>
  </conditionalFormatting>
  <conditionalFormatting sqref="E40:G40">
    <cfRule type="cellIs" dxfId="179" priority="258" operator="equal">
      <formula>0</formula>
    </cfRule>
  </conditionalFormatting>
  <conditionalFormatting sqref="E40:G40">
    <cfRule type="cellIs" dxfId="178" priority="260" operator="equal">
      <formula>0</formula>
    </cfRule>
  </conditionalFormatting>
  <conditionalFormatting sqref="E40:G40">
    <cfRule type="cellIs" dxfId="177" priority="259" operator="equal">
      <formula>0</formula>
    </cfRule>
  </conditionalFormatting>
  <conditionalFormatting sqref="E35:G35">
    <cfRule type="cellIs" dxfId="176" priority="256" operator="equal">
      <formula>0</formula>
    </cfRule>
  </conditionalFormatting>
  <conditionalFormatting sqref="D35">
    <cfRule type="cellIs" dxfId="175" priority="257" operator="equal">
      <formula>0</formula>
    </cfRule>
  </conditionalFormatting>
  <conditionalFormatting sqref="E37:G37">
    <cfRule type="cellIs" dxfId="174" priority="255" operator="equal">
      <formula>0</formula>
    </cfRule>
  </conditionalFormatting>
  <conditionalFormatting sqref="E36:G36">
    <cfRule type="cellIs" dxfId="173" priority="254" operator="equal">
      <formula>0</formula>
    </cfRule>
  </conditionalFormatting>
  <conditionalFormatting sqref="E36:G36">
    <cfRule type="cellIs" dxfId="172" priority="253" operator="equal">
      <formula>0</formula>
    </cfRule>
  </conditionalFormatting>
  <conditionalFormatting sqref="E35:G35">
    <cfRule type="cellIs" dxfId="171" priority="252" operator="equal">
      <formula>0</formula>
    </cfRule>
  </conditionalFormatting>
  <conditionalFormatting sqref="E36:G36">
    <cfRule type="cellIs" dxfId="170" priority="251" operator="equal">
      <formula>0</formula>
    </cfRule>
  </conditionalFormatting>
  <conditionalFormatting sqref="E35:G35">
    <cfRule type="cellIs" dxfId="169" priority="250" operator="equal">
      <formula>0</formula>
    </cfRule>
  </conditionalFormatting>
  <conditionalFormatting sqref="E35:G35">
    <cfRule type="cellIs" dxfId="168" priority="249" operator="equal">
      <formula>0</formula>
    </cfRule>
  </conditionalFormatting>
  <conditionalFormatting sqref="E46:G47">
    <cfRule type="cellIs" dxfId="167" priority="248" operator="equal">
      <formula>0</formula>
    </cfRule>
  </conditionalFormatting>
  <conditionalFormatting sqref="E38:G38">
    <cfRule type="cellIs" dxfId="166" priority="245" operator="equal">
      <formula>0</formula>
    </cfRule>
  </conditionalFormatting>
  <conditionalFormatting sqref="E38:G38">
    <cfRule type="cellIs" dxfId="165" priority="247" operator="equal">
      <formula>0</formula>
    </cfRule>
  </conditionalFormatting>
  <conditionalFormatting sqref="E38:G38">
    <cfRule type="cellIs" dxfId="164" priority="246" operator="equal">
      <formula>0</formula>
    </cfRule>
  </conditionalFormatting>
  <conditionalFormatting sqref="E40:G40">
    <cfRule type="cellIs" dxfId="163" priority="242" operator="equal">
      <formula>0</formula>
    </cfRule>
  </conditionalFormatting>
  <conditionalFormatting sqref="E40:G40">
    <cfRule type="cellIs" dxfId="162" priority="244" operator="equal">
      <formula>0</formula>
    </cfRule>
  </conditionalFormatting>
  <conditionalFormatting sqref="E40:G40">
    <cfRule type="cellIs" dxfId="161" priority="243" operator="equal">
      <formula>0</formula>
    </cfRule>
  </conditionalFormatting>
  <conditionalFormatting sqref="E39:G39">
    <cfRule type="cellIs" dxfId="160" priority="239" operator="equal">
      <formula>0</formula>
    </cfRule>
  </conditionalFormatting>
  <conditionalFormatting sqref="E39:G39">
    <cfRule type="cellIs" dxfId="159" priority="241" operator="equal">
      <formula>0</formula>
    </cfRule>
  </conditionalFormatting>
  <conditionalFormatting sqref="E39:G39">
    <cfRule type="cellIs" dxfId="158" priority="240" operator="equal">
      <formula>0</formula>
    </cfRule>
  </conditionalFormatting>
  <conditionalFormatting sqref="E37:G37">
    <cfRule type="cellIs" dxfId="157" priority="234" operator="equal">
      <formula>0</formula>
    </cfRule>
  </conditionalFormatting>
  <conditionalFormatting sqref="D35:G35">
    <cfRule type="cellIs" dxfId="156" priority="165" operator="equal">
      <formula>0</formula>
    </cfRule>
  </conditionalFormatting>
  <conditionalFormatting sqref="E38:G38">
    <cfRule type="cellIs" dxfId="155" priority="236" operator="equal">
      <formula>0</formula>
    </cfRule>
  </conditionalFormatting>
  <conditionalFormatting sqref="E37:G37">
    <cfRule type="cellIs" dxfId="154" priority="235" operator="equal">
      <formula>0</formula>
    </cfRule>
  </conditionalFormatting>
  <conditionalFormatting sqref="E36:G36">
    <cfRule type="cellIs" dxfId="153" priority="230" operator="equal">
      <formula>0</formula>
    </cfRule>
  </conditionalFormatting>
  <conditionalFormatting sqref="E36:G36">
    <cfRule type="cellIs" dxfId="152" priority="233" operator="equal">
      <formula>0</formula>
    </cfRule>
  </conditionalFormatting>
  <conditionalFormatting sqref="E37:G37">
    <cfRule type="cellIs" dxfId="151" priority="232" operator="equal">
      <formula>0</formula>
    </cfRule>
  </conditionalFormatting>
  <conditionalFormatting sqref="E36:G36">
    <cfRule type="cellIs" dxfId="150" priority="231" operator="equal">
      <formula>0</formula>
    </cfRule>
  </conditionalFormatting>
  <conditionalFormatting sqref="E33:G33">
    <cfRule type="cellIs" dxfId="149" priority="229" operator="equal">
      <formula>0</formula>
    </cfRule>
  </conditionalFormatting>
  <conditionalFormatting sqref="E39:G39">
    <cfRule type="cellIs" dxfId="148" priority="226" operator="equal">
      <formula>0</formula>
    </cfRule>
  </conditionalFormatting>
  <conditionalFormatting sqref="E39:G39">
    <cfRule type="cellIs" dxfId="147" priority="228" operator="equal">
      <formula>0</formula>
    </cfRule>
  </conditionalFormatting>
  <conditionalFormatting sqref="E39:G39">
    <cfRule type="cellIs" dxfId="146" priority="227" operator="equal">
      <formula>0</formula>
    </cfRule>
  </conditionalFormatting>
  <conditionalFormatting sqref="E41:G41">
    <cfRule type="cellIs" dxfId="145" priority="223" operator="equal">
      <formula>0</formula>
    </cfRule>
  </conditionalFormatting>
  <conditionalFormatting sqref="E41:G41">
    <cfRule type="cellIs" dxfId="144" priority="225" operator="equal">
      <formula>0</formula>
    </cfRule>
  </conditionalFormatting>
  <conditionalFormatting sqref="E41:G41">
    <cfRule type="cellIs" dxfId="143" priority="224" operator="equal">
      <formula>0</formula>
    </cfRule>
  </conditionalFormatting>
  <conditionalFormatting sqref="E40:G40">
    <cfRule type="cellIs" dxfId="142" priority="220" operator="equal">
      <formula>0</formula>
    </cfRule>
  </conditionalFormatting>
  <conditionalFormatting sqref="E40:G40">
    <cfRule type="cellIs" dxfId="141" priority="222" operator="equal">
      <formula>0</formula>
    </cfRule>
  </conditionalFormatting>
  <conditionalFormatting sqref="E40:G40">
    <cfRule type="cellIs" dxfId="140" priority="221" operator="equal">
      <formula>0</formula>
    </cfRule>
  </conditionalFormatting>
  <conditionalFormatting sqref="E37:G37">
    <cfRule type="cellIs" dxfId="139" priority="219" operator="equal">
      <formula>0</formula>
    </cfRule>
  </conditionalFormatting>
  <conditionalFormatting sqref="E36:G36">
    <cfRule type="cellIs" dxfId="138" priority="218" operator="equal">
      <formula>0</formula>
    </cfRule>
  </conditionalFormatting>
  <conditionalFormatting sqref="E36:G36">
    <cfRule type="cellIs" dxfId="137" priority="217" operator="equal">
      <formula>0</formula>
    </cfRule>
  </conditionalFormatting>
  <conditionalFormatting sqref="E36:G36">
    <cfRule type="cellIs" dxfId="136" priority="216" operator="equal">
      <formula>0</formula>
    </cfRule>
  </conditionalFormatting>
  <conditionalFormatting sqref="E32:G32">
    <cfRule type="cellIs" dxfId="135" priority="215" operator="equal">
      <formula>0</formula>
    </cfRule>
  </conditionalFormatting>
  <conditionalFormatting sqref="E46:G46">
    <cfRule type="cellIs" dxfId="134" priority="214" operator="equal">
      <formula>0</formula>
    </cfRule>
  </conditionalFormatting>
  <conditionalFormatting sqref="E38:G38">
    <cfRule type="cellIs" dxfId="133" priority="211" operator="equal">
      <formula>0</formula>
    </cfRule>
  </conditionalFormatting>
  <conditionalFormatting sqref="E38:G38">
    <cfRule type="cellIs" dxfId="132" priority="213" operator="equal">
      <formula>0</formula>
    </cfRule>
  </conditionalFormatting>
  <conditionalFormatting sqref="E38:G38">
    <cfRule type="cellIs" dxfId="131" priority="212" operator="equal">
      <formula>0</formula>
    </cfRule>
  </conditionalFormatting>
  <conditionalFormatting sqref="E40:G40">
    <cfRule type="cellIs" dxfId="130" priority="208" operator="equal">
      <formula>0</formula>
    </cfRule>
  </conditionalFormatting>
  <conditionalFormatting sqref="E40:G40">
    <cfRule type="cellIs" dxfId="129" priority="210" operator="equal">
      <formula>0</formula>
    </cfRule>
  </conditionalFormatting>
  <conditionalFormatting sqref="E40:G40">
    <cfRule type="cellIs" dxfId="128" priority="209" operator="equal">
      <formula>0</formula>
    </cfRule>
  </conditionalFormatting>
  <conditionalFormatting sqref="E39:G39">
    <cfRule type="cellIs" dxfId="127" priority="205" operator="equal">
      <formula>0</formula>
    </cfRule>
  </conditionalFormatting>
  <conditionalFormatting sqref="E39:G39">
    <cfRule type="cellIs" dxfId="126" priority="207" operator="equal">
      <formula>0</formula>
    </cfRule>
  </conditionalFormatting>
  <conditionalFormatting sqref="E39:G39">
    <cfRule type="cellIs" dxfId="125" priority="206" operator="equal">
      <formula>0</formula>
    </cfRule>
  </conditionalFormatting>
  <conditionalFormatting sqref="E33:G33">
    <cfRule type="cellIs" dxfId="124" priority="203" operator="equal">
      <formula>0</formula>
    </cfRule>
  </conditionalFormatting>
  <conditionalFormatting sqref="D33">
    <cfRule type="cellIs" dxfId="123" priority="204" operator="equal">
      <formula>0</formula>
    </cfRule>
  </conditionalFormatting>
  <conditionalFormatting sqref="D30:G30">
    <cfRule type="cellIs" dxfId="122" priority="202" operator="equal">
      <formula>0</formula>
    </cfRule>
  </conditionalFormatting>
  <conditionalFormatting sqref="E37:G37">
    <cfRule type="cellIs" dxfId="121" priority="197" operator="equal">
      <formula>0</formula>
    </cfRule>
  </conditionalFormatting>
  <conditionalFormatting sqref="E39:G39">
    <cfRule type="cellIs" dxfId="120" priority="200" operator="equal">
      <formula>0</formula>
    </cfRule>
  </conditionalFormatting>
  <conditionalFormatting sqref="E38:G38">
    <cfRule type="cellIs" dxfId="119" priority="199" operator="equal">
      <formula>0</formula>
    </cfRule>
  </conditionalFormatting>
  <conditionalFormatting sqref="E38:G38">
    <cfRule type="cellIs" dxfId="118" priority="198" operator="equal">
      <formula>0</formula>
    </cfRule>
  </conditionalFormatting>
  <conditionalFormatting sqref="E40:G40">
    <cfRule type="cellIs" dxfId="117" priority="193" operator="equal">
      <formula>0</formula>
    </cfRule>
  </conditionalFormatting>
  <conditionalFormatting sqref="E38:G38">
    <cfRule type="cellIs" dxfId="116" priority="196" operator="equal">
      <formula>0</formula>
    </cfRule>
  </conditionalFormatting>
  <conditionalFormatting sqref="E37:G37">
    <cfRule type="cellIs" dxfId="115" priority="195" operator="equal">
      <formula>0</formula>
    </cfRule>
  </conditionalFormatting>
  <conditionalFormatting sqref="E37:G37">
    <cfRule type="cellIs" dxfId="114" priority="194" operator="equal">
      <formula>0</formula>
    </cfRule>
  </conditionalFormatting>
  <conditionalFormatting sqref="E40:G40">
    <cfRule type="cellIs" dxfId="113" priority="191" operator="equal">
      <formula>0</formula>
    </cfRule>
  </conditionalFormatting>
  <conditionalFormatting sqref="E40:G40">
    <cfRule type="cellIs" dxfId="112" priority="192" operator="equal">
      <formula>0</formula>
    </cfRule>
  </conditionalFormatting>
  <conditionalFormatting sqref="D36">
    <cfRule type="cellIs" dxfId="111" priority="184" operator="equal">
      <formula>0</formula>
    </cfRule>
  </conditionalFormatting>
  <conditionalFormatting sqref="E41:G41">
    <cfRule type="cellIs" dxfId="110" priority="186" operator="equal">
      <formula>0</formula>
    </cfRule>
  </conditionalFormatting>
  <conditionalFormatting sqref="E41:G41">
    <cfRule type="cellIs" dxfId="109" priority="185" operator="equal">
      <formula>0</formula>
    </cfRule>
  </conditionalFormatting>
  <conditionalFormatting sqref="E37:G37">
    <cfRule type="cellIs" dxfId="108" priority="181" operator="equal">
      <formula>0</formula>
    </cfRule>
  </conditionalFormatting>
  <conditionalFormatting sqref="E41:G41">
    <cfRule type="cellIs" dxfId="107" priority="187" operator="equal">
      <formula>0</formula>
    </cfRule>
  </conditionalFormatting>
  <conditionalFormatting sqref="E38:G38">
    <cfRule type="cellIs" dxfId="106" priority="182" operator="equal">
      <formula>0</formula>
    </cfRule>
  </conditionalFormatting>
  <conditionalFormatting sqref="E36:G36">
    <cfRule type="cellIs" dxfId="105" priority="183" operator="equal">
      <formula>0</formula>
    </cfRule>
  </conditionalFormatting>
  <conditionalFormatting sqref="E37:G37">
    <cfRule type="cellIs" dxfId="104" priority="180" operator="equal">
      <formula>0</formula>
    </cfRule>
  </conditionalFormatting>
  <conditionalFormatting sqref="E36:G36">
    <cfRule type="cellIs" dxfId="103" priority="179" operator="equal">
      <formula>0</formula>
    </cfRule>
  </conditionalFormatting>
  <conditionalFormatting sqref="E37:G37">
    <cfRule type="cellIs" dxfId="102" priority="178" operator="equal">
      <formula>0</formula>
    </cfRule>
  </conditionalFormatting>
  <conditionalFormatting sqref="E36:G36">
    <cfRule type="cellIs" dxfId="101" priority="177" operator="equal">
      <formula>0</formula>
    </cfRule>
  </conditionalFormatting>
  <conditionalFormatting sqref="E36:G36">
    <cfRule type="cellIs" dxfId="100" priority="176" operator="equal">
      <formula>0</formula>
    </cfRule>
  </conditionalFormatting>
  <conditionalFormatting sqref="E39:G39">
    <cfRule type="cellIs" dxfId="99" priority="173" operator="equal">
      <formula>0</formula>
    </cfRule>
  </conditionalFormatting>
  <conditionalFormatting sqref="E39:G39">
    <cfRule type="cellIs" dxfId="98" priority="175" operator="equal">
      <formula>0</formula>
    </cfRule>
  </conditionalFormatting>
  <conditionalFormatting sqref="E39:G39">
    <cfRule type="cellIs" dxfId="97" priority="174" operator="equal">
      <formula>0</formula>
    </cfRule>
  </conditionalFormatting>
  <conditionalFormatting sqref="E41:G41">
    <cfRule type="cellIs" dxfId="96" priority="170" operator="equal">
      <formula>0</formula>
    </cfRule>
  </conditionalFormatting>
  <conditionalFormatting sqref="E41:G41">
    <cfRule type="cellIs" dxfId="95" priority="172" operator="equal">
      <formula>0</formula>
    </cfRule>
  </conditionalFormatting>
  <conditionalFormatting sqref="E41:G41">
    <cfRule type="cellIs" dxfId="94" priority="171" operator="equal">
      <formula>0</formula>
    </cfRule>
  </conditionalFormatting>
  <conditionalFormatting sqref="E40:G40">
    <cfRule type="cellIs" dxfId="93" priority="167" operator="equal">
      <formula>0</formula>
    </cfRule>
  </conditionalFormatting>
  <conditionalFormatting sqref="E40:G40">
    <cfRule type="cellIs" dxfId="92" priority="169" operator="equal">
      <formula>0</formula>
    </cfRule>
  </conditionalFormatting>
  <conditionalFormatting sqref="E40:G40">
    <cfRule type="cellIs" dxfId="91" priority="168" operator="equal">
      <formula>0</formula>
    </cfRule>
  </conditionalFormatting>
  <conditionalFormatting sqref="D44:G44">
    <cfRule type="cellIs" dxfId="90" priority="166" operator="equal">
      <formula>0</formula>
    </cfRule>
  </conditionalFormatting>
  <conditionalFormatting sqref="D85">
    <cfRule type="cellIs" dxfId="89" priority="164" operator="equal">
      <formula>0</formula>
    </cfRule>
  </conditionalFormatting>
  <conditionalFormatting sqref="E85:G85">
    <cfRule type="cellIs" dxfId="88" priority="162" operator="equal">
      <formula>0</formula>
    </cfRule>
  </conditionalFormatting>
  <conditionalFormatting sqref="E85:G85">
    <cfRule type="cellIs" dxfId="87" priority="163" operator="equal">
      <formula>0</formula>
    </cfRule>
  </conditionalFormatting>
  <conditionalFormatting sqref="E85:G85">
    <cfRule type="cellIs" dxfId="86" priority="160" operator="equal">
      <formula>0</formula>
    </cfRule>
  </conditionalFormatting>
  <conditionalFormatting sqref="E85:G85">
    <cfRule type="cellIs" dxfId="85" priority="161" operator="equal">
      <formula>0</formula>
    </cfRule>
  </conditionalFormatting>
  <conditionalFormatting sqref="D19 D12:D14">
    <cfRule type="cellIs" dxfId="84" priority="159" operator="equal">
      <formula>0</formula>
    </cfRule>
  </conditionalFormatting>
  <conditionalFormatting sqref="E19:G19">
    <cfRule type="cellIs" dxfId="83" priority="158" operator="equal">
      <formula>0</formula>
    </cfRule>
  </conditionalFormatting>
  <conditionalFormatting sqref="D19 D12:D14">
    <cfRule type="cellIs" dxfId="82" priority="157" operator="equal">
      <formula>0</formula>
    </cfRule>
  </conditionalFormatting>
  <conditionalFormatting sqref="E19:G19">
    <cfRule type="cellIs" dxfId="81" priority="156" operator="equal">
      <formula>0</formula>
    </cfRule>
  </conditionalFormatting>
  <conditionalFormatting sqref="E16:G16">
    <cfRule type="cellIs" dxfId="80" priority="131" operator="equal">
      <formula>0</formula>
    </cfRule>
  </conditionalFormatting>
  <conditionalFormatting sqref="E16:G16">
    <cfRule type="cellIs" dxfId="79" priority="130" operator="equal">
      <formula>0</formula>
    </cfRule>
  </conditionalFormatting>
  <conditionalFormatting sqref="D16">
    <cfRule type="cellIs" dxfId="78" priority="129" operator="equal">
      <formula>0</formula>
    </cfRule>
  </conditionalFormatting>
  <conditionalFormatting sqref="D16">
    <cfRule type="cellIs" dxfId="77" priority="128" operator="equal">
      <formula>0</formula>
    </cfRule>
  </conditionalFormatting>
  <conditionalFormatting sqref="E17:G17">
    <cfRule type="cellIs" dxfId="76" priority="127" operator="equal">
      <formula>0</formula>
    </cfRule>
  </conditionalFormatting>
  <conditionalFormatting sqref="E17:G17">
    <cfRule type="cellIs" dxfId="75" priority="126" operator="equal">
      <formula>0</formula>
    </cfRule>
  </conditionalFormatting>
  <conditionalFormatting sqref="D17">
    <cfRule type="cellIs" dxfId="74" priority="125" operator="equal">
      <formula>0</formula>
    </cfRule>
  </conditionalFormatting>
  <conditionalFormatting sqref="D17">
    <cfRule type="cellIs" dxfId="73" priority="124" operator="equal">
      <formula>0</formula>
    </cfRule>
  </conditionalFormatting>
  <conditionalFormatting sqref="E79:G79">
    <cfRule type="cellIs" dxfId="72" priority="115" operator="equal">
      <formula>0</formula>
    </cfRule>
  </conditionalFormatting>
  <conditionalFormatting sqref="E79:G79">
    <cfRule type="cellIs" dxfId="71" priority="114" operator="equal">
      <formula>0</formula>
    </cfRule>
  </conditionalFormatting>
  <conditionalFormatting sqref="D79">
    <cfRule type="cellIs" dxfId="70" priority="113" operator="equal">
      <formula>0</formula>
    </cfRule>
  </conditionalFormatting>
  <conditionalFormatting sqref="D79">
    <cfRule type="cellIs" dxfId="69" priority="112" operator="equal">
      <formula>0</formula>
    </cfRule>
  </conditionalFormatting>
  <conditionalFormatting sqref="E80:G80">
    <cfRule type="cellIs" dxfId="68" priority="111" operator="equal">
      <formula>0</formula>
    </cfRule>
  </conditionalFormatting>
  <conditionalFormatting sqref="E80:G80">
    <cfRule type="cellIs" dxfId="67" priority="110" operator="equal">
      <formula>0</formula>
    </cfRule>
  </conditionalFormatting>
  <conditionalFormatting sqref="D80">
    <cfRule type="cellIs" dxfId="66" priority="109" operator="equal">
      <formula>0</formula>
    </cfRule>
  </conditionalFormatting>
  <conditionalFormatting sqref="D80">
    <cfRule type="cellIs" dxfId="65" priority="108" operator="equal">
      <formula>0</formula>
    </cfRule>
  </conditionalFormatting>
  <conditionalFormatting sqref="E81:G81">
    <cfRule type="cellIs" dxfId="64" priority="107" operator="equal">
      <formula>0</formula>
    </cfRule>
  </conditionalFormatting>
  <conditionalFormatting sqref="E81:G81">
    <cfRule type="cellIs" dxfId="63" priority="106" operator="equal">
      <formula>0</formula>
    </cfRule>
  </conditionalFormatting>
  <conditionalFormatting sqref="D81">
    <cfRule type="cellIs" dxfId="62" priority="105" operator="equal">
      <formula>0</formula>
    </cfRule>
  </conditionalFormatting>
  <conditionalFormatting sqref="D81">
    <cfRule type="cellIs" dxfId="61" priority="104" operator="equal">
      <formula>0</formula>
    </cfRule>
  </conditionalFormatting>
  <conditionalFormatting sqref="E82:G82">
    <cfRule type="cellIs" dxfId="60" priority="103" operator="equal">
      <formula>0</formula>
    </cfRule>
  </conditionalFormatting>
  <conditionalFormatting sqref="E82:G82">
    <cfRule type="cellIs" dxfId="59" priority="102" operator="equal">
      <formula>0</formula>
    </cfRule>
  </conditionalFormatting>
  <conditionalFormatting sqref="D82">
    <cfRule type="cellIs" dxfId="58" priority="101" operator="equal">
      <formula>0</formula>
    </cfRule>
  </conditionalFormatting>
  <conditionalFormatting sqref="D82">
    <cfRule type="cellIs" dxfId="57" priority="100" operator="equal">
      <formula>0</formula>
    </cfRule>
  </conditionalFormatting>
  <conditionalFormatting sqref="E83:G83">
    <cfRule type="cellIs" dxfId="56" priority="99" operator="equal">
      <formula>0</formula>
    </cfRule>
  </conditionalFormatting>
  <conditionalFormatting sqref="E83:G83">
    <cfRule type="cellIs" dxfId="55" priority="98" operator="equal">
      <formula>0</formula>
    </cfRule>
  </conditionalFormatting>
  <conditionalFormatting sqref="D83">
    <cfRule type="cellIs" dxfId="54" priority="97" operator="equal">
      <formula>0</formula>
    </cfRule>
  </conditionalFormatting>
  <conditionalFormatting sqref="D83">
    <cfRule type="cellIs" dxfId="53" priority="96" operator="equal">
      <formula>0</formula>
    </cfRule>
  </conditionalFormatting>
  <conditionalFormatting sqref="D43:G43">
    <cfRule type="cellIs" dxfId="52" priority="95" operator="equal">
      <formula>0</formula>
    </cfRule>
  </conditionalFormatting>
  <conditionalFormatting sqref="D43:G43">
    <cfRule type="cellIs" dxfId="51" priority="94" operator="equal">
      <formula>0</formula>
    </cfRule>
  </conditionalFormatting>
  <conditionalFormatting sqref="D43:G43">
    <cfRule type="cellIs" dxfId="50" priority="93" operator="equal">
      <formula>0</formula>
    </cfRule>
  </conditionalFormatting>
  <conditionalFormatting sqref="E43:G43">
    <cfRule type="cellIs" dxfId="49" priority="90" operator="equal">
      <formula>0</formula>
    </cfRule>
  </conditionalFormatting>
  <conditionalFormatting sqref="E43:G43">
    <cfRule type="cellIs" dxfId="48" priority="92" operator="equal">
      <formula>0</formula>
    </cfRule>
  </conditionalFormatting>
  <conditionalFormatting sqref="E43:G43">
    <cfRule type="cellIs" dxfId="47" priority="91" operator="equal">
      <formula>0</formula>
    </cfRule>
  </conditionalFormatting>
  <conditionalFormatting sqref="E42:G42">
    <cfRule type="cellIs" dxfId="46" priority="89" operator="equal">
      <formula>0</formula>
    </cfRule>
  </conditionalFormatting>
  <conditionalFormatting sqref="E42:G42">
    <cfRule type="cellIs" dxfId="45" priority="88" operator="equal">
      <formula>0</formula>
    </cfRule>
  </conditionalFormatting>
  <conditionalFormatting sqref="D42">
    <cfRule type="cellIs" dxfId="44" priority="87" operator="equal">
      <formula>0</formula>
    </cfRule>
  </conditionalFormatting>
  <conditionalFormatting sqref="D42">
    <cfRule type="cellIs" dxfId="43" priority="86" operator="equal">
      <formula>0</formula>
    </cfRule>
  </conditionalFormatting>
  <conditionalFormatting sqref="E67:G67">
    <cfRule type="cellIs" dxfId="42" priority="85" operator="equal">
      <formula>0</formula>
    </cfRule>
  </conditionalFormatting>
  <conditionalFormatting sqref="E67:G67">
    <cfRule type="cellIs" dxfId="41" priority="84" operator="equal">
      <formula>0</formula>
    </cfRule>
  </conditionalFormatting>
  <conditionalFormatting sqref="D67:D69">
    <cfRule type="cellIs" dxfId="40" priority="83" operator="equal">
      <formula>0</formula>
    </cfRule>
  </conditionalFormatting>
  <conditionalFormatting sqref="D67:D69">
    <cfRule type="cellIs" dxfId="39" priority="82" operator="equal">
      <formula>0</formula>
    </cfRule>
  </conditionalFormatting>
  <conditionalFormatting sqref="E18:G18">
    <cfRule type="cellIs" dxfId="38" priority="77" operator="equal">
      <formula>0</formula>
    </cfRule>
  </conditionalFormatting>
  <conditionalFormatting sqref="E18:G18">
    <cfRule type="cellIs" dxfId="37" priority="76" operator="equal">
      <formula>0</formula>
    </cfRule>
  </conditionalFormatting>
  <conditionalFormatting sqref="D18">
    <cfRule type="cellIs" dxfId="36" priority="75" operator="equal">
      <formula>0</formula>
    </cfRule>
  </conditionalFormatting>
  <conditionalFormatting sqref="D18">
    <cfRule type="cellIs" dxfId="35" priority="74" operator="equal">
      <formula>0</formula>
    </cfRule>
  </conditionalFormatting>
  <conditionalFormatting sqref="E15:G15">
    <cfRule type="cellIs" dxfId="34" priority="49" operator="equal">
      <formula>0</formula>
    </cfRule>
  </conditionalFormatting>
  <conditionalFormatting sqref="E15:G15">
    <cfRule type="cellIs" dxfId="33" priority="48" operator="equal">
      <formula>0</formula>
    </cfRule>
  </conditionalFormatting>
  <conditionalFormatting sqref="D15">
    <cfRule type="cellIs" dxfId="32" priority="47" operator="equal">
      <formula>0</formula>
    </cfRule>
  </conditionalFormatting>
  <conditionalFormatting sqref="D15">
    <cfRule type="cellIs" dxfId="31" priority="46" operator="equal">
      <formula>0</formula>
    </cfRule>
  </conditionalFormatting>
  <conditionalFormatting sqref="E20:G20">
    <cfRule type="cellIs" dxfId="30" priority="41" operator="equal">
      <formula>0</formula>
    </cfRule>
  </conditionalFormatting>
  <conditionalFormatting sqref="E20:G20">
    <cfRule type="cellIs" dxfId="29" priority="40" operator="equal">
      <formula>0</formula>
    </cfRule>
  </conditionalFormatting>
  <conditionalFormatting sqref="E84:G84">
    <cfRule type="cellIs" dxfId="28" priority="37" operator="equal">
      <formula>0</formula>
    </cfRule>
  </conditionalFormatting>
  <conditionalFormatting sqref="E84:G84">
    <cfRule type="cellIs" dxfId="27" priority="36" operator="equal">
      <formula>0</formula>
    </cfRule>
  </conditionalFormatting>
  <conditionalFormatting sqref="D20">
    <cfRule type="cellIs" dxfId="26" priority="39" operator="equal">
      <formula>0</formula>
    </cfRule>
  </conditionalFormatting>
  <conditionalFormatting sqref="D20">
    <cfRule type="cellIs" dxfId="25" priority="38" operator="equal">
      <formula>0</formula>
    </cfRule>
  </conditionalFormatting>
  <conditionalFormatting sqref="E34:G34">
    <cfRule type="cellIs" dxfId="24" priority="33" operator="equal">
      <formula>0</formula>
    </cfRule>
  </conditionalFormatting>
  <conditionalFormatting sqref="E34:G34">
    <cfRule type="cellIs" dxfId="23" priority="32" operator="equal">
      <formula>0</formula>
    </cfRule>
  </conditionalFormatting>
  <conditionalFormatting sqref="D84">
    <cfRule type="cellIs" dxfId="22" priority="35" operator="equal">
      <formula>0</formula>
    </cfRule>
  </conditionalFormatting>
  <conditionalFormatting sqref="D84">
    <cfRule type="cellIs" dxfId="21" priority="34" operator="equal">
      <formula>0</formula>
    </cfRule>
  </conditionalFormatting>
  <conditionalFormatting sqref="D34">
    <cfRule type="cellIs" dxfId="20" priority="31" operator="equal">
      <formula>0</formula>
    </cfRule>
  </conditionalFormatting>
  <conditionalFormatting sqref="D34">
    <cfRule type="cellIs" dxfId="19" priority="30" operator="equal">
      <formula>0</formula>
    </cfRule>
  </conditionalFormatting>
  <conditionalFormatting sqref="D31:G31">
    <cfRule type="cellIs" dxfId="18" priority="29" operator="equal">
      <formula>0</formula>
    </cfRule>
  </conditionalFormatting>
  <conditionalFormatting sqref="D45:G45">
    <cfRule type="cellIs" dxfId="17" priority="28" operator="equal">
      <formula>0</formula>
    </cfRule>
  </conditionalFormatting>
  <conditionalFormatting sqref="I31:J31">
    <cfRule type="cellIs" dxfId="16" priority="27" operator="equal">
      <formula>0</formula>
    </cfRule>
  </conditionalFormatting>
  <conditionalFormatting sqref="E12:G12">
    <cfRule type="cellIs" dxfId="15" priority="26" operator="equal">
      <formula>0</formula>
    </cfRule>
  </conditionalFormatting>
  <conditionalFormatting sqref="E12:G12">
    <cfRule type="cellIs" dxfId="14" priority="25" operator="equal">
      <formula>0</formula>
    </cfRule>
  </conditionalFormatting>
  <conditionalFormatting sqref="D10:D11">
    <cfRule type="cellIs" dxfId="13" priority="14" operator="equal">
      <formula>0</formula>
    </cfRule>
  </conditionalFormatting>
  <conditionalFormatting sqref="D10:D11">
    <cfRule type="cellIs" dxfId="12" priority="13" operator="equal">
      <formula>0</formula>
    </cfRule>
  </conditionalFormatting>
  <conditionalFormatting sqref="E13:G13">
    <cfRule type="cellIs" dxfId="11" priority="22" operator="equal">
      <formula>0</formula>
    </cfRule>
  </conditionalFormatting>
  <conditionalFormatting sqref="E13:G13">
    <cfRule type="cellIs" dxfId="10" priority="21" operator="equal">
      <formula>0</formula>
    </cfRule>
  </conditionalFormatting>
  <conditionalFormatting sqref="E11:G11">
    <cfRule type="cellIs" dxfId="9" priority="10" operator="equal">
      <formula>0</formula>
    </cfRule>
  </conditionalFormatting>
  <conditionalFormatting sqref="E11:G11">
    <cfRule type="cellIs" dxfId="8" priority="9" operator="equal">
      <formula>0</formula>
    </cfRule>
  </conditionalFormatting>
  <conditionalFormatting sqref="E14:G14">
    <cfRule type="cellIs" dxfId="7" priority="18" operator="equal">
      <formula>0</formula>
    </cfRule>
  </conditionalFormatting>
  <conditionalFormatting sqref="E14:G14">
    <cfRule type="cellIs" dxfId="6" priority="17" operator="equal">
      <formula>0</formula>
    </cfRule>
  </conditionalFormatting>
  <conditionalFormatting sqref="E10:G10">
    <cfRule type="cellIs" dxfId="5" priority="12" operator="equal">
      <formula>0</formula>
    </cfRule>
  </conditionalFormatting>
  <conditionalFormatting sqref="E10:G10">
    <cfRule type="cellIs" dxfId="4" priority="11" operator="equal">
      <formula>0</formula>
    </cfRule>
  </conditionalFormatting>
  <conditionalFormatting sqref="E54:G54">
    <cfRule type="cellIs" dxfId="3" priority="8" operator="equal">
      <formula>0</formula>
    </cfRule>
  </conditionalFormatting>
  <conditionalFormatting sqref="E54:G54">
    <cfRule type="cellIs" dxfId="2" priority="7" operator="equal">
      <formula>0</formula>
    </cfRule>
  </conditionalFormatting>
  <conditionalFormatting sqref="E68:G68">
    <cfRule type="cellIs" dxfId="1" priority="4" operator="equal">
      <formula>0</formula>
    </cfRule>
  </conditionalFormatting>
  <conditionalFormatting sqref="E68:G68">
    <cfRule type="cellIs" dxfId="0" priority="3" operator="equal">
      <formula>0</formula>
    </cfRule>
  </conditionalFormatting>
  <dataValidations count="3">
    <dataValidation type="list" allowBlank="1" showErrorMessage="1" sqref="B116:B133">
      <formula1>$I$3:$I$7</formula1>
    </dataValidation>
    <dataValidation type="list" allowBlank="1" showInputMessage="1" showErrorMessage="1" promptTitle="Остаток" sqref="I106:I107 I109 I72 I101:I104 I50 I55 I89:I98 I18:I19 I3:I9 I76:I85 I52:I53 I67 I69">
      <formula1>$I$3:$I$7</formula1>
    </dataValidation>
    <dataValidation type="list" allowBlank="1" showInputMessage="1" showErrorMessage="1" sqref="B10:B115">
      <formula1>$I$3:$I$7</formula1>
    </dataValidation>
  </dataValidations>
  <pageMargins left="0.7" right="0.7" top="0.75" bottom="0.75" header="0.3" footer="0.3"/>
  <pageSetup paperSize="9" scale="58" orientation="portrait" r:id="rId1"/>
  <rowBreaks count="1" manualBreakCount="1">
    <brk id="7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PC8004</cp:lastModifiedBy>
  <cp:lastPrinted>2020-07-24T12:48:26Z</cp:lastPrinted>
  <dcterms:created xsi:type="dcterms:W3CDTF">2019-12-25T09:07:04Z</dcterms:created>
  <dcterms:modified xsi:type="dcterms:W3CDTF">2025-11-10T14:51:43Z</dcterms:modified>
</cp:coreProperties>
</file>