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5566356df9cea75/Desktop/Гриша/ПРАЙС/"/>
    </mc:Choice>
  </mc:AlternateContent>
  <xr:revisionPtr revIDLastSave="0" documentId="8_{A8FD8474-1952-4ABF-B6D0-E81C055179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ай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0" i="1" l="1"/>
  <c r="G160" i="1"/>
  <c r="A150" i="1"/>
  <c r="G150" i="1"/>
  <c r="A60" i="1"/>
  <c r="G60" i="1"/>
  <c r="A50" i="1"/>
  <c r="G50" i="1"/>
  <c r="A4" i="1"/>
  <c r="G5" i="1"/>
  <c r="A5" i="1"/>
  <c r="G69" i="1"/>
  <c r="G70" i="1"/>
  <c r="G71" i="1"/>
  <c r="A71" i="1"/>
  <c r="A109" i="1"/>
  <c r="A126" i="1"/>
  <c r="G126" i="1"/>
  <c r="A7" i="1"/>
  <c r="A6" i="1"/>
  <c r="G4" i="1"/>
  <c r="G6" i="1"/>
  <c r="G7" i="1"/>
  <c r="A166" i="1"/>
  <c r="A165" i="1"/>
  <c r="A164" i="1"/>
  <c r="A163" i="1"/>
  <c r="A162" i="1"/>
  <c r="A161" i="1"/>
  <c r="A159" i="1"/>
  <c r="A158" i="1"/>
  <c r="A157" i="1"/>
  <c r="A156" i="1"/>
  <c r="A155" i="1"/>
  <c r="A154" i="1"/>
  <c r="A153" i="1"/>
  <c r="A152" i="1"/>
  <c r="A151" i="1"/>
  <c r="A149" i="1"/>
  <c r="A148" i="1"/>
  <c r="G179" i="1"/>
  <c r="G180" i="1"/>
  <c r="G181" i="1"/>
  <c r="G148" i="1"/>
  <c r="G168" i="1"/>
  <c r="G169" i="1"/>
  <c r="G170" i="1"/>
  <c r="G171" i="1"/>
  <c r="G172" i="1"/>
  <c r="G173" i="1"/>
  <c r="G174" i="1"/>
  <c r="G175" i="1"/>
  <c r="G176" i="1"/>
  <c r="A182" i="1"/>
  <c r="G166" i="1"/>
  <c r="A181" i="1"/>
  <c r="A180" i="1"/>
  <c r="A179" i="1"/>
  <c r="A176" i="1"/>
  <c r="A175" i="1"/>
  <c r="A174" i="1"/>
  <c r="A173" i="1"/>
  <c r="A172" i="1"/>
  <c r="G177" i="1"/>
  <c r="A177" i="1"/>
  <c r="A171" i="1"/>
  <c r="A170" i="1"/>
  <c r="A169" i="1"/>
  <c r="A168" i="1"/>
  <c r="G178" i="1"/>
  <c r="A178" i="1"/>
  <c r="G154" i="1"/>
  <c r="G68" i="1"/>
  <c r="G98" i="1"/>
  <c r="G128" i="1"/>
  <c r="A128" i="1"/>
  <c r="A98" i="1"/>
  <c r="A78" i="1"/>
  <c r="A68" i="1"/>
  <c r="A69" i="1"/>
  <c r="G36" i="1"/>
  <c r="A36" i="1"/>
  <c r="A131" i="1"/>
  <c r="A122" i="1"/>
  <c r="A115" i="1"/>
  <c r="A112" i="1"/>
  <c r="A105" i="1"/>
  <c r="A79" i="1"/>
  <c r="A75" i="1"/>
  <c r="A54" i="1"/>
  <c r="A49" i="1"/>
  <c r="A47" i="1"/>
  <c r="A45" i="1"/>
  <c r="A43" i="1"/>
  <c r="A40" i="1"/>
  <c r="A33" i="1"/>
  <c r="A28" i="1"/>
  <c r="A15" i="1"/>
  <c r="A13" i="1"/>
  <c r="A72" i="1"/>
  <c r="A44" i="1"/>
  <c r="A146" i="1"/>
  <c r="A145" i="1"/>
  <c r="A144" i="1"/>
  <c r="A143" i="1"/>
  <c r="A142" i="1"/>
  <c r="A141" i="1"/>
  <c r="A140" i="1"/>
  <c r="A139" i="1"/>
  <c r="A138" i="1"/>
  <c r="A120" i="1"/>
  <c r="A119" i="1"/>
  <c r="A117" i="1"/>
  <c r="A113" i="1"/>
  <c r="A111" i="1"/>
  <c r="A110" i="1"/>
  <c r="A106" i="1"/>
  <c r="A104" i="1"/>
  <c r="A84" i="1"/>
  <c r="A83" i="1"/>
  <c r="A82" i="1"/>
  <c r="A77" i="1"/>
  <c r="A74" i="1"/>
  <c r="A73" i="1"/>
  <c r="A70" i="1"/>
  <c r="A67" i="1"/>
  <c r="A65" i="1"/>
  <c r="A57" i="1"/>
  <c r="A53" i="1"/>
  <c r="A52" i="1"/>
  <c r="A51" i="1"/>
  <c r="A37" i="1"/>
  <c r="A11" i="1"/>
  <c r="A10" i="1"/>
  <c r="A9" i="1"/>
  <c r="G8" i="1"/>
  <c r="A8" i="1"/>
  <c r="H187" i="1"/>
  <c r="G187" i="1"/>
  <c r="G182" i="1"/>
  <c r="G157" i="1"/>
  <c r="G165" i="1"/>
  <c r="G156" i="1"/>
  <c r="G155" i="1"/>
  <c r="G164" i="1"/>
  <c r="G163" i="1"/>
  <c r="G153" i="1"/>
  <c r="G162" i="1"/>
  <c r="G152" i="1"/>
  <c r="G161" i="1"/>
  <c r="G151" i="1"/>
  <c r="G159" i="1"/>
  <c r="G149" i="1"/>
  <c r="G158" i="1"/>
  <c r="G146" i="1"/>
  <c r="G145" i="1"/>
  <c r="G144" i="1"/>
  <c r="G143" i="1"/>
  <c r="G142" i="1"/>
  <c r="G141" i="1"/>
  <c r="G140" i="1"/>
  <c r="G139" i="1"/>
  <c r="G138" i="1"/>
  <c r="G137" i="1"/>
  <c r="A137" i="1"/>
  <c r="G136" i="1"/>
  <c r="A136" i="1"/>
  <c r="G135" i="1"/>
  <c r="A135" i="1"/>
  <c r="G134" i="1"/>
  <c r="A134" i="1"/>
  <c r="G133" i="1"/>
  <c r="A133" i="1"/>
  <c r="G132" i="1"/>
  <c r="A132" i="1"/>
  <c r="G131" i="1"/>
  <c r="G130" i="1"/>
  <c r="A130" i="1"/>
  <c r="G129" i="1"/>
  <c r="A129" i="1"/>
  <c r="G127" i="1"/>
  <c r="A127" i="1"/>
  <c r="G125" i="1"/>
  <c r="A125" i="1"/>
  <c r="G124" i="1"/>
  <c r="A124" i="1"/>
  <c r="G123" i="1"/>
  <c r="A123" i="1"/>
  <c r="G122" i="1"/>
  <c r="G121" i="1"/>
  <c r="A121" i="1"/>
  <c r="G120" i="1"/>
  <c r="G119" i="1"/>
  <c r="G118" i="1"/>
  <c r="A118" i="1"/>
  <c r="G117" i="1"/>
  <c r="G116" i="1"/>
  <c r="A116" i="1"/>
  <c r="G115" i="1"/>
  <c r="G114" i="1"/>
  <c r="A114" i="1"/>
  <c r="G113" i="1"/>
  <c r="G112" i="1"/>
  <c r="G111" i="1"/>
  <c r="G110" i="1"/>
  <c r="G109" i="1"/>
  <c r="G108" i="1"/>
  <c r="A108" i="1"/>
  <c r="G107" i="1"/>
  <c r="A107" i="1"/>
  <c r="G106" i="1"/>
  <c r="G105" i="1"/>
  <c r="G104" i="1"/>
  <c r="G103" i="1"/>
  <c r="A103" i="1"/>
  <c r="G102" i="1"/>
  <c r="A102" i="1"/>
  <c r="G101" i="1"/>
  <c r="A101" i="1"/>
  <c r="G100" i="1"/>
  <c r="A100" i="1"/>
  <c r="G99" i="1"/>
  <c r="A99" i="1"/>
  <c r="G97" i="1"/>
  <c r="A97" i="1"/>
  <c r="G96" i="1"/>
  <c r="A96" i="1"/>
  <c r="G95" i="1"/>
  <c r="A95" i="1"/>
  <c r="G94" i="1"/>
  <c r="A94" i="1"/>
  <c r="G93" i="1"/>
  <c r="A93" i="1"/>
  <c r="G92" i="1"/>
  <c r="A92" i="1"/>
  <c r="G91" i="1"/>
  <c r="A91" i="1"/>
  <c r="G90" i="1"/>
  <c r="A90" i="1"/>
  <c r="G89" i="1"/>
  <c r="A89" i="1"/>
  <c r="G88" i="1"/>
  <c r="A88" i="1"/>
  <c r="G87" i="1"/>
  <c r="A87" i="1"/>
  <c r="G86" i="1"/>
  <c r="A86" i="1"/>
  <c r="G85" i="1"/>
  <c r="A85" i="1"/>
  <c r="G84" i="1"/>
  <c r="G83" i="1"/>
  <c r="G82" i="1"/>
  <c r="G81" i="1"/>
  <c r="A81" i="1"/>
  <c r="G80" i="1"/>
  <c r="A80" i="1"/>
  <c r="G79" i="1"/>
  <c r="G77" i="1"/>
  <c r="G76" i="1"/>
  <c r="A76" i="1"/>
  <c r="G75" i="1"/>
  <c r="G74" i="1"/>
  <c r="G73" i="1"/>
  <c r="G72" i="1"/>
  <c r="G67" i="1"/>
  <c r="G66" i="1"/>
  <c r="A66" i="1"/>
  <c r="G65" i="1"/>
  <c r="G64" i="1"/>
  <c r="A64" i="1"/>
  <c r="G63" i="1"/>
  <c r="A63" i="1"/>
  <c r="G62" i="1"/>
  <c r="A62" i="1"/>
  <c r="G61" i="1"/>
  <c r="A61" i="1"/>
  <c r="G59" i="1"/>
  <c r="A59" i="1"/>
  <c r="G58" i="1"/>
  <c r="A58" i="1"/>
  <c r="G57" i="1"/>
  <c r="G56" i="1"/>
  <c r="A56" i="1"/>
  <c r="G55" i="1"/>
  <c r="A55" i="1"/>
  <c r="G54" i="1"/>
  <c r="G53" i="1"/>
  <c r="G52" i="1"/>
  <c r="G51" i="1"/>
  <c r="G49" i="1"/>
  <c r="G48" i="1"/>
  <c r="A48" i="1"/>
  <c r="G47" i="1"/>
  <c r="G46" i="1"/>
  <c r="A46" i="1"/>
  <c r="G45" i="1"/>
  <c r="G44" i="1"/>
  <c r="G43" i="1"/>
  <c r="G42" i="1"/>
  <c r="A42" i="1"/>
  <c r="G41" i="1"/>
  <c r="A41" i="1"/>
  <c r="G40" i="1"/>
  <c r="G39" i="1"/>
  <c r="A39" i="1"/>
  <c r="G38" i="1"/>
  <c r="A38" i="1"/>
  <c r="G37" i="1"/>
  <c r="G35" i="1"/>
  <c r="A35" i="1"/>
  <c r="G34" i="1"/>
  <c r="A34" i="1"/>
  <c r="G33" i="1"/>
  <c r="G32" i="1"/>
  <c r="A32" i="1"/>
  <c r="G31" i="1"/>
  <c r="A31" i="1"/>
  <c r="G30" i="1"/>
  <c r="A30" i="1"/>
  <c r="G29" i="1"/>
  <c r="A29" i="1"/>
  <c r="G28" i="1"/>
  <c r="G27" i="1"/>
  <c r="A27" i="1"/>
  <c r="G26" i="1"/>
  <c r="A26" i="1"/>
  <c r="G25" i="1"/>
  <c r="A25" i="1"/>
  <c r="G24" i="1"/>
  <c r="A24" i="1"/>
  <c r="G23" i="1"/>
  <c r="A23" i="1"/>
  <c r="G22" i="1"/>
  <c r="A22" i="1"/>
  <c r="G21" i="1"/>
  <c r="A21" i="1"/>
  <c r="G20" i="1"/>
  <c r="A20" i="1"/>
  <c r="G19" i="1"/>
  <c r="A19" i="1"/>
  <c r="G18" i="1"/>
  <c r="A18" i="1"/>
  <c r="G17" i="1"/>
  <c r="A17" i="1"/>
  <c r="G16" i="1"/>
  <c r="A16" i="1"/>
  <c r="G15" i="1"/>
  <c r="G14" i="1"/>
  <c r="A14" i="1"/>
  <c r="G13" i="1"/>
  <c r="G12" i="1"/>
  <c r="A12" i="1"/>
  <c r="G11" i="1"/>
  <c r="G10" i="1"/>
  <c r="G9" i="1"/>
  <c r="G183" i="1" l="1"/>
  <c r="D183" i="1" l="1"/>
  <c r="D184" i="1"/>
  <c r="H188" i="1"/>
  <c r="E150" i="1" l="1"/>
  <c r="H150" i="1" s="1"/>
  <c r="E160" i="1"/>
  <c r="H160" i="1" s="1"/>
  <c r="E50" i="1"/>
  <c r="H50" i="1" s="1"/>
  <c r="E60" i="1"/>
  <c r="H60" i="1" s="1"/>
  <c r="E71" i="1"/>
  <c r="H71" i="1" s="1"/>
  <c r="E5" i="1"/>
  <c r="H5" i="1" s="1"/>
  <c r="E126" i="1"/>
  <c r="H126" i="1" s="1"/>
  <c r="E6" i="1"/>
  <c r="H6" i="1" s="1"/>
  <c r="E4" i="1"/>
  <c r="H4" i="1" s="1"/>
  <c r="E7" i="1"/>
  <c r="H7" i="1" s="1"/>
  <c r="E166" i="1"/>
  <c r="H166" i="1" s="1"/>
  <c r="E168" i="1"/>
  <c r="H168" i="1" s="1"/>
  <c r="E169" i="1"/>
  <c r="H169" i="1" s="1"/>
  <c r="E170" i="1"/>
  <c r="H170" i="1" s="1"/>
  <c r="E171" i="1"/>
  <c r="H171" i="1" s="1"/>
  <c r="E179" i="1"/>
  <c r="H179" i="1" s="1"/>
  <c r="E180" i="1"/>
  <c r="H180" i="1" s="1"/>
  <c r="E181" i="1"/>
  <c r="H181" i="1" s="1"/>
  <c r="E175" i="1"/>
  <c r="H175" i="1" s="1"/>
  <c r="E176" i="1"/>
  <c r="H176" i="1" s="1"/>
  <c r="E174" i="1"/>
  <c r="H174" i="1" s="1"/>
  <c r="E173" i="1"/>
  <c r="H173" i="1" s="1"/>
  <c r="E177" i="1"/>
  <c r="H177" i="1" s="1"/>
  <c r="E172" i="1"/>
  <c r="H172" i="1" s="1"/>
  <c r="E178" i="1"/>
  <c r="H178" i="1" s="1"/>
  <c r="E69" i="1"/>
  <c r="H69" i="1" s="1"/>
  <c r="E154" i="1"/>
  <c r="H154" i="1" s="1"/>
  <c r="E98" i="1"/>
  <c r="H98" i="1" s="1"/>
  <c r="E68" i="1"/>
  <c r="H68" i="1" s="1"/>
  <c r="E78" i="1"/>
  <c r="H78" i="1" s="1"/>
  <c r="E36" i="1"/>
  <c r="H36" i="1" s="1"/>
  <c r="E128" i="1"/>
  <c r="H128" i="1" s="1"/>
  <c r="D187" i="1"/>
  <c r="E18" i="1" l="1"/>
  <c r="H18" i="1" s="1"/>
  <c r="E83" i="1"/>
  <c r="H83" i="1" s="1"/>
  <c r="E82" i="1"/>
  <c r="H82" i="1" s="1"/>
  <c r="E13" i="1"/>
  <c r="H13" i="1" s="1"/>
  <c r="E132" i="1"/>
  <c r="H132" i="1" s="1"/>
  <c r="E121" i="1"/>
  <c r="H121" i="1" s="1"/>
  <c r="E106" i="1"/>
  <c r="H106" i="1" s="1"/>
  <c r="E108" i="1"/>
  <c r="H108" i="1" s="1"/>
  <c r="E112" i="1"/>
  <c r="H112" i="1" s="1"/>
  <c r="E137" i="1"/>
  <c r="H137" i="1" s="1"/>
  <c r="E56" i="1"/>
  <c r="H56" i="1" s="1"/>
  <c r="E19" i="1"/>
  <c r="H19" i="1" s="1"/>
  <c r="E116" i="1"/>
  <c r="H116" i="1" s="1"/>
  <c r="E140" i="1"/>
  <c r="H140" i="1" s="1"/>
  <c r="E142" i="1"/>
  <c r="H142" i="1" s="1"/>
  <c r="E74" i="1"/>
  <c r="H74" i="1" s="1"/>
  <c r="E10" i="1"/>
  <c r="H10" i="1" s="1"/>
  <c r="E109" i="1"/>
  <c r="H109" i="1" s="1"/>
  <c r="E134" i="1"/>
  <c r="H134" i="1" s="1"/>
  <c r="E63" i="1"/>
  <c r="H63" i="1" s="1"/>
  <c r="E136" i="1"/>
  <c r="H136" i="1" s="1"/>
  <c r="E33" i="1"/>
  <c r="H33" i="1" s="1"/>
  <c r="E145" i="1"/>
  <c r="H145" i="1" s="1"/>
  <c r="E117" i="1"/>
  <c r="H117" i="1" s="1"/>
  <c r="E42" i="1"/>
  <c r="H42" i="1" s="1"/>
  <c r="E48" i="1"/>
  <c r="H48" i="1" s="1"/>
  <c r="E66" i="1"/>
  <c r="H66" i="1" s="1"/>
  <c r="E8" i="1"/>
  <c r="H8" i="1" s="1"/>
  <c r="E29" i="1"/>
  <c r="H29" i="1" s="1"/>
  <c r="E79" i="1"/>
  <c r="H79" i="1" s="1"/>
  <c r="E14" i="1"/>
  <c r="H14" i="1" s="1"/>
  <c r="E38" i="1"/>
  <c r="H38" i="1" s="1"/>
  <c r="E12" i="1"/>
  <c r="H12" i="1" s="1"/>
  <c r="E47" i="1"/>
  <c r="H47" i="1" s="1"/>
  <c r="E62" i="1"/>
  <c r="H62" i="1" s="1"/>
  <c r="E37" i="1"/>
  <c r="H37" i="1" s="1"/>
  <c r="E138" i="1"/>
  <c r="H138" i="1" s="1"/>
  <c r="E17" i="1"/>
  <c r="H17" i="1" s="1"/>
  <c r="E144" i="1"/>
  <c r="H144" i="1" s="1"/>
  <c r="E111" i="1"/>
  <c r="H111" i="1" s="1"/>
  <c r="E139" i="1"/>
  <c r="H139" i="1" s="1"/>
  <c r="E124" i="1"/>
  <c r="H124" i="1" s="1"/>
  <c r="E141" i="1"/>
  <c r="H141" i="1" s="1"/>
  <c r="E51" i="1"/>
  <c r="H51" i="1" s="1"/>
  <c r="E16" i="1"/>
  <c r="H16" i="1" s="1"/>
  <c r="E72" i="1"/>
  <c r="H72" i="1" s="1"/>
  <c r="E52" i="1"/>
  <c r="H52" i="1" s="1"/>
  <c r="E49" i="1"/>
  <c r="H49" i="1" s="1"/>
  <c r="E151" i="1"/>
  <c r="H151" i="1" s="1"/>
  <c r="E162" i="1"/>
  <c r="H162" i="1" s="1"/>
  <c r="E163" i="1"/>
  <c r="H163" i="1" s="1"/>
  <c r="E81" i="1"/>
  <c r="H81" i="1" s="1"/>
  <c r="E76" i="1"/>
  <c r="H76" i="1" s="1"/>
  <c r="E39" i="1"/>
  <c r="H39" i="1" s="1"/>
  <c r="E88" i="1"/>
  <c r="H88" i="1" s="1"/>
  <c r="E131" i="1"/>
  <c r="H131" i="1" s="1"/>
  <c r="E102" i="1"/>
  <c r="H102" i="1" s="1"/>
  <c r="E61" i="1"/>
  <c r="H61" i="1" s="1"/>
  <c r="E110" i="1"/>
  <c r="H110" i="1" s="1"/>
  <c r="E46" i="1"/>
  <c r="H46" i="1" s="1"/>
  <c r="E58" i="1"/>
  <c r="H58" i="1" s="1"/>
  <c r="E15" i="1"/>
  <c r="H15" i="1" s="1"/>
  <c r="E24" i="1"/>
  <c r="H24" i="1" s="1"/>
  <c r="E31" i="1"/>
  <c r="H31" i="1" s="1"/>
  <c r="E43" i="1"/>
  <c r="H43" i="1" s="1"/>
  <c r="E32" i="1"/>
  <c r="H32" i="1" s="1"/>
  <c r="E107" i="1"/>
  <c r="H107" i="1" s="1"/>
  <c r="E57" i="1"/>
  <c r="H57" i="1" s="1"/>
  <c r="E113" i="1"/>
  <c r="H113" i="1" s="1"/>
  <c r="E45" i="1"/>
  <c r="H45" i="1" s="1"/>
  <c r="E22" i="1"/>
  <c r="H22" i="1" s="1"/>
  <c r="E133" i="1"/>
  <c r="H133" i="1" s="1"/>
  <c r="E122" i="1"/>
  <c r="H122" i="1" s="1"/>
  <c r="E64" i="1"/>
  <c r="H64" i="1" s="1"/>
  <c r="E123" i="1"/>
  <c r="H123" i="1" s="1"/>
  <c r="E9" i="1"/>
  <c r="H9" i="1" s="1"/>
  <c r="E165" i="1"/>
  <c r="H165" i="1" s="1"/>
  <c r="E182" i="1"/>
  <c r="H182" i="1" s="1"/>
  <c r="E149" i="1"/>
  <c r="H149" i="1" s="1"/>
  <c r="E158" i="1"/>
  <c r="H158" i="1" s="1"/>
  <c r="E86" i="1"/>
  <c r="H86" i="1" s="1"/>
  <c r="E73" i="1"/>
  <c r="H73" i="1" s="1"/>
  <c r="E28" i="1"/>
  <c r="H28" i="1" s="1"/>
  <c r="E130" i="1"/>
  <c r="H130" i="1" s="1"/>
  <c r="E87" i="1"/>
  <c r="H87" i="1" s="1"/>
  <c r="E23" i="1"/>
  <c r="H23" i="1" s="1"/>
  <c r="E35" i="1"/>
  <c r="H35" i="1" s="1"/>
  <c r="E20" i="1"/>
  <c r="H20" i="1" s="1"/>
  <c r="E120" i="1"/>
  <c r="H120" i="1" s="1"/>
  <c r="E11" i="1"/>
  <c r="H11" i="1" s="1"/>
  <c r="E59" i="1"/>
  <c r="H59" i="1" s="1"/>
  <c r="E115" i="1"/>
  <c r="H115" i="1" s="1"/>
  <c r="E70" i="1"/>
  <c r="H70" i="1" s="1"/>
  <c r="E67" i="1"/>
  <c r="H67" i="1" s="1"/>
  <c r="E127" i="1"/>
  <c r="H127" i="1" s="1"/>
  <c r="E55" i="1"/>
  <c r="H55" i="1" s="1"/>
  <c r="E90" i="1"/>
  <c r="H90" i="1" s="1"/>
  <c r="E89" i="1"/>
  <c r="H89" i="1" s="1"/>
  <c r="E85" i="1"/>
  <c r="H85" i="1" s="1"/>
  <c r="E157" i="1"/>
  <c r="H157" i="1" s="1"/>
  <c r="E153" i="1"/>
  <c r="H153" i="1" s="1"/>
  <c r="E148" i="1"/>
  <c r="H148" i="1" s="1"/>
  <c r="E54" i="1"/>
  <c r="H54" i="1" s="1"/>
  <c r="E44" i="1"/>
  <c r="H44" i="1" s="1"/>
  <c r="E146" i="1"/>
  <c r="H146" i="1" s="1"/>
  <c r="E129" i="1"/>
  <c r="H129" i="1" s="1"/>
  <c r="E53" i="1"/>
  <c r="H53" i="1" s="1"/>
  <c r="E114" i="1"/>
  <c r="H114" i="1" s="1"/>
  <c r="E25" i="1"/>
  <c r="H25" i="1" s="1"/>
  <c r="E26" i="1"/>
  <c r="H26" i="1" s="1"/>
  <c r="E21" i="1"/>
  <c r="H21" i="1" s="1"/>
  <c r="E27" i="1"/>
  <c r="H27" i="1" s="1"/>
  <c r="E30" i="1"/>
  <c r="H30" i="1" s="1"/>
  <c r="E34" i="1"/>
  <c r="H34" i="1" s="1"/>
  <c r="E65" i="1"/>
  <c r="H65" i="1" s="1"/>
  <c r="E41" i="1"/>
  <c r="H41" i="1" s="1"/>
  <c r="E152" i="1"/>
  <c r="H152" i="1" s="1"/>
  <c r="E164" i="1"/>
  <c r="H164" i="1" s="1"/>
  <c r="E155" i="1"/>
  <c r="H155" i="1" s="1"/>
  <c r="E156" i="1"/>
  <c r="H156" i="1" s="1"/>
  <c r="E84" i="1"/>
  <c r="H84" i="1" s="1"/>
  <c r="E80" i="1"/>
  <c r="H80" i="1" s="1"/>
  <c r="E77" i="1"/>
  <c r="H77" i="1" s="1"/>
  <c r="E75" i="1"/>
  <c r="H75" i="1" s="1"/>
  <c r="E40" i="1"/>
  <c r="H40" i="1" s="1"/>
  <c r="E135" i="1"/>
  <c r="H135" i="1" s="1"/>
  <c r="E159" i="1"/>
  <c r="H159" i="1" s="1"/>
  <c r="E161" i="1"/>
  <c r="H161" i="1" s="1"/>
  <c r="E92" i="1"/>
  <c r="H92" i="1" s="1"/>
  <c r="E94" i="1"/>
  <c r="H94" i="1" s="1"/>
  <c r="E93" i="1"/>
  <c r="H93" i="1" s="1"/>
  <c r="E118" i="1"/>
  <c r="H118" i="1" s="1"/>
  <c r="E143" i="1"/>
  <c r="H143" i="1" s="1"/>
  <c r="E91" i="1"/>
  <c r="H91" i="1" s="1"/>
  <c r="E104" i="1"/>
  <c r="H104" i="1" s="1"/>
  <c r="E125" i="1"/>
  <c r="H125" i="1" s="1"/>
  <c r="E119" i="1"/>
  <c r="H119" i="1" s="1"/>
  <c r="E105" i="1"/>
  <c r="H105" i="1" s="1"/>
  <c r="E101" i="1"/>
  <c r="H101" i="1" s="1"/>
  <c r="E100" i="1"/>
  <c r="H100" i="1" s="1"/>
  <c r="E103" i="1"/>
  <c r="H103" i="1" s="1"/>
  <c r="E99" i="1"/>
  <c r="H99" i="1" s="1"/>
  <c r="E97" i="1"/>
  <c r="H97" i="1" s="1"/>
  <c r="E96" i="1"/>
  <c r="H96" i="1" s="1"/>
  <c r="E95" i="1"/>
  <c r="H95" i="1" s="1"/>
  <c r="H183" i="1" l="1"/>
  <c r="H189" i="1" s="1"/>
  <c r="H190" i="1" s="1"/>
</calcChain>
</file>

<file path=xl/sharedStrings.xml><?xml version="1.0" encoding="utf-8"?>
<sst xmlns="http://schemas.openxmlformats.org/spreadsheetml/2006/main" count="244" uniqueCount="48">
  <si>
    <t>Нажмите на название игры для того, чтобы перейти к описанию.</t>
  </si>
  <si>
    <t>Игры Crowd Games (Категории 1)</t>
  </si>
  <si>
    <t xml:space="preserve">Артикул </t>
  </si>
  <si>
    <t>РМРЦ*</t>
  </si>
  <si>
    <t>Цена со скидкой</t>
  </si>
  <si>
    <t>Кол-во</t>
  </si>
  <si>
    <t>Сумма, базовая цена</t>
  </si>
  <si>
    <t>Сумма</t>
  </si>
  <si>
    <t>Система скидок           Crowd Games</t>
  </si>
  <si>
    <t>Сумма заказа</t>
  </si>
  <si>
    <t>Процент скидки</t>
  </si>
  <si>
    <t xml:space="preserve">Внимание! Минимальная сумма заказа 20 000 рублей, с учетом скидки. Скидка считается автоматически, и отображается в поле "ВАША СКИДКА". Вам достаточно лишь ввести количество экземпляров. Поле "ВАШ ДОХОД" - это разница между стоимостью игр, которые вы заказываете по РМРЦ и фактической суммой к оплате.  </t>
  </si>
  <si>
    <t>16400-1</t>
  </si>
  <si>
    <t>16246-playmat</t>
  </si>
  <si>
    <t>BCUPRL03ML2</t>
  </si>
  <si>
    <t>BCUPRL02ML2</t>
  </si>
  <si>
    <t>ARQ-152</t>
  </si>
  <si>
    <t>ВАША СКИДКА</t>
  </si>
  <si>
    <t>СУММА</t>
  </si>
  <si>
    <t>Аксессуары Crowd Games</t>
  </si>
  <si>
    <t>Игра от наших партнеров</t>
  </si>
  <si>
    <t>СУММА БАЗОВАЯ</t>
  </si>
  <si>
    <t>ОБЩАЯ СУММА ЗАКАЗА</t>
  </si>
  <si>
    <t>ВАШ ДОХОД</t>
  </si>
  <si>
    <t>* РМРЦ - рекомендуемая минимальная розничная цена, ниже которой мы просим не продавать.</t>
  </si>
  <si>
    <t>CGA09001</t>
  </si>
  <si>
    <t>A-2016</t>
  </si>
  <si>
    <t>Размер предоставляемой скидки зависит от общей суммы заказа</t>
  </si>
  <si>
    <t>Остаток на складе</t>
  </si>
  <si>
    <t>A-2009</t>
  </si>
  <si>
    <t>A-2017(Black)</t>
  </si>
  <si>
    <t>A-2034</t>
  </si>
  <si>
    <t>A-2032</t>
  </si>
  <si>
    <t>A-2033</t>
  </si>
  <si>
    <t>A-2031</t>
  </si>
  <si>
    <t>A-2030</t>
  </si>
  <si>
    <t>A-2029</t>
  </si>
  <si>
    <t>A-2007(Yellow)</t>
  </si>
  <si>
    <t>A-2007(Red)</t>
  </si>
  <si>
    <t>A-2007(Blue)</t>
  </si>
  <si>
    <t>А-2022</t>
  </si>
  <si>
    <t>A-2023</t>
  </si>
  <si>
    <t>Много</t>
  </si>
  <si>
    <t>Мало</t>
  </si>
  <si>
    <t>Нет</t>
  </si>
  <si>
    <t>Ждем</t>
  </si>
  <si>
    <t>Протекторы Crowd Games</t>
  </si>
  <si>
    <t>ПРАЙС ЛИСТ CROWD GAMES  с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</si>
</sst>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\ &quot;₽&quot;"/>
  </numFmts>
  <fonts count="25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Calibri"/>
      <family val="2"/>
      <charset val="204"/>
    </font>
    <font>
      <sz val="12"/>
      <color theme="1"/>
      <name val="Aptos Narrow"/>
      <family val="2"/>
    </font>
    <font>
      <sz val="12"/>
      <color theme="1"/>
      <name val="Arial"/>
      <family val="2"/>
      <charset val="204"/>
    </font>
    <font>
      <sz val="12"/>
      <color theme="1"/>
      <name val="Aptos Narrow"/>
      <family val="2"/>
    </font>
    <font>
      <b/>
      <u/>
      <sz val="10"/>
      <color rgb="FFFF0000"/>
      <name val="Arial"/>
      <family val="2"/>
      <charset val="204"/>
    </font>
    <font>
      <sz val="8"/>
      <name val="Arial"/>
      <family val="2"/>
    </font>
    <font>
      <sz val="12"/>
      <color theme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rgb="FFFF5050"/>
      <name val="Arial"/>
      <family val="2"/>
    </font>
    <font>
      <sz val="11"/>
      <color rgb="FF000000"/>
      <name val="Arial"/>
      <family val="2"/>
    </font>
    <font>
      <sz val="12"/>
      <color rgb="FF1E293B"/>
      <name val="Arial"/>
      <family val="2"/>
    </font>
    <font>
      <sz val="8"/>
      <name val="Tahoma"/>
      <family val="2"/>
      <charset val="204"/>
    </font>
    <font>
      <sz val="8"/>
      <name val="Calibri"/>
      <family val="2"/>
      <charset val="204"/>
      <scheme val="minor"/>
    </font>
    <font>
      <sz val="12"/>
      <color theme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theme="9" tint="0.79998168889431442"/>
        <bgColor rgb="FFD9EAD3"/>
      </patternFill>
    </fill>
    <fill>
      <patternFill patternType="solid">
        <fgColor theme="9"/>
        <bgColor rgb="FF6AA84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2EFDA"/>
        <bgColor rgb="FFD9EAD3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5" fillId="0" borderId="0"/>
  </cellStyleXfs>
  <cellXfs count="108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/>
    <xf numFmtId="0" fontId="4" fillId="6" borderId="7" xfId="0" applyFont="1" applyFill="1" applyBorder="1" applyAlignment="1">
      <alignment vertical="top" wrapText="1"/>
    </xf>
    <xf numFmtId="164" fontId="9" fillId="6" borderId="1" xfId="0" applyNumberFormat="1" applyFont="1" applyFill="1" applyBorder="1" applyAlignment="1">
      <alignment horizontal="center" vertical="top"/>
    </xf>
    <xf numFmtId="164" fontId="4" fillId="2" borderId="1" xfId="0" applyNumberFormat="1" applyFont="1" applyFill="1" applyBorder="1" applyAlignment="1">
      <alignment horizontal="center" vertical="top" wrapText="1"/>
    </xf>
    <xf numFmtId="0" fontId="2" fillId="6" borderId="7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10" fillId="0" borderId="0" xfId="0" applyFont="1"/>
    <xf numFmtId="0" fontId="4" fillId="2" borderId="7" xfId="0" applyFont="1" applyFill="1" applyBorder="1" applyAlignment="1">
      <alignment vertical="top"/>
    </xf>
    <xf numFmtId="164" fontId="9" fillId="2" borderId="1" xfId="0" applyNumberFormat="1" applyFont="1" applyFill="1" applyBorder="1" applyAlignment="1">
      <alignment horizontal="center" vertical="top"/>
    </xf>
    <xf numFmtId="0" fontId="2" fillId="2" borderId="7" xfId="0" applyFont="1" applyFill="1" applyBorder="1" applyAlignment="1">
      <alignment vertical="top" wrapText="1"/>
    </xf>
    <xf numFmtId="0" fontId="2" fillId="5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4" fillId="6" borderId="8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165" fontId="2" fillId="8" borderId="5" xfId="0" applyNumberFormat="1" applyFont="1" applyFill="1" applyBorder="1" applyAlignment="1">
      <alignment horizontal="center" vertical="top"/>
    </xf>
    <xf numFmtId="164" fontId="2" fillId="8" borderId="19" xfId="0" applyNumberFormat="1" applyFont="1" applyFill="1" applyBorder="1" applyAlignment="1">
      <alignment horizontal="center" vertical="top"/>
    </xf>
    <xf numFmtId="165" fontId="2" fillId="8" borderId="13" xfId="0" applyNumberFormat="1" applyFont="1" applyFill="1" applyBorder="1" applyAlignment="1">
      <alignment horizontal="center" vertical="top"/>
    </xf>
    <xf numFmtId="164" fontId="2" fillId="8" borderId="20" xfId="0" applyNumberFormat="1" applyFont="1" applyFill="1" applyBorder="1" applyAlignment="1">
      <alignment horizontal="center" vertical="top"/>
    </xf>
    <xf numFmtId="165" fontId="2" fillId="8" borderId="21" xfId="0" applyNumberFormat="1" applyFont="1" applyFill="1" applyBorder="1" applyAlignment="1">
      <alignment horizontal="center" vertical="top"/>
    </xf>
    <xf numFmtId="164" fontId="2" fillId="8" borderId="4" xfId="0" applyNumberFormat="1" applyFont="1" applyFill="1" applyBorder="1" applyAlignment="1">
      <alignment horizontal="center" vertical="top"/>
    </xf>
    <xf numFmtId="165" fontId="2" fillId="8" borderId="11" xfId="0" applyNumberFormat="1" applyFont="1" applyFill="1" applyBorder="1" applyAlignment="1">
      <alignment horizontal="center" vertical="top"/>
    </xf>
    <xf numFmtId="164" fontId="2" fillId="8" borderId="22" xfId="0" applyNumberFormat="1" applyFont="1" applyFill="1" applyBorder="1" applyAlignment="1">
      <alignment horizontal="center" vertical="top"/>
    </xf>
    <xf numFmtId="0" fontId="20" fillId="9" borderId="0" xfId="0" applyFont="1" applyFill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top"/>
    </xf>
    <xf numFmtId="0" fontId="17" fillId="10" borderId="1" xfId="1" applyFont="1" applyFill="1" applyBorder="1" applyAlignment="1">
      <alignment horizontal="center" vertical="top" wrapText="1"/>
    </xf>
    <xf numFmtId="0" fontId="17" fillId="10" borderId="1" xfId="0" applyFont="1" applyFill="1" applyBorder="1" applyAlignment="1">
      <alignment horizontal="center" vertical="top"/>
    </xf>
    <xf numFmtId="0" fontId="17" fillId="10" borderId="1" xfId="0" applyFont="1" applyFill="1" applyBorder="1" applyAlignment="1">
      <alignment horizontal="center" vertical="top" wrapText="1"/>
    </xf>
    <xf numFmtId="0" fontId="17" fillId="10" borderId="1" xfId="0" applyFont="1" applyFill="1" applyBorder="1" applyAlignment="1" applyProtection="1">
      <alignment horizontal="center" vertical="top"/>
      <protection locked="0"/>
    </xf>
    <xf numFmtId="0" fontId="17" fillId="10" borderId="1" xfId="0" applyFont="1" applyFill="1" applyBorder="1" applyAlignment="1">
      <alignment vertical="top"/>
    </xf>
    <xf numFmtId="0" fontId="18" fillId="10" borderId="1" xfId="0" applyFont="1" applyFill="1" applyBorder="1" applyAlignment="1">
      <alignment horizontal="center" vertical="top"/>
    </xf>
    <xf numFmtId="0" fontId="2" fillId="10" borderId="1" xfId="0" applyFont="1" applyFill="1" applyBorder="1" applyAlignment="1" applyProtection="1">
      <alignment horizontal="center" vertical="top"/>
      <protection locked="0"/>
    </xf>
    <xf numFmtId="0" fontId="2" fillId="10" borderId="1" xfId="0" applyFont="1" applyFill="1" applyBorder="1" applyAlignment="1">
      <alignment horizontal="center" vertical="top"/>
    </xf>
    <xf numFmtId="0" fontId="7" fillId="10" borderId="1" xfId="0" applyFont="1" applyFill="1" applyBorder="1" applyAlignment="1" applyProtection="1">
      <alignment horizontal="center" vertical="top"/>
      <protection locked="0"/>
    </xf>
    <xf numFmtId="0" fontId="7" fillId="10" borderId="1" xfId="0" applyFont="1" applyFill="1" applyBorder="1" applyAlignment="1">
      <alignment horizontal="center" vertical="top"/>
    </xf>
    <xf numFmtId="0" fontId="17" fillId="10" borderId="1" xfId="0" applyFont="1" applyFill="1" applyBorder="1" applyAlignment="1" applyProtection="1">
      <alignment vertical="top"/>
      <protection locked="0"/>
    </xf>
    <xf numFmtId="0" fontId="19" fillId="10" borderId="1" xfId="0" applyFont="1" applyFill="1" applyBorder="1" applyAlignment="1" applyProtection="1">
      <alignment horizontal="center" vertical="top"/>
      <protection locked="0"/>
    </xf>
    <xf numFmtId="0" fontId="18" fillId="10" borderId="1" xfId="0" applyFont="1" applyFill="1" applyBorder="1" applyAlignment="1" applyProtection="1">
      <alignment horizontal="center" vertical="top"/>
      <protection locked="0"/>
    </xf>
    <xf numFmtId="0" fontId="2" fillId="10" borderId="12" xfId="0" applyFont="1" applyFill="1" applyBorder="1" applyAlignment="1" applyProtection="1">
      <alignment horizontal="center" vertical="top"/>
      <protection locked="0"/>
    </xf>
    <xf numFmtId="0" fontId="2" fillId="10" borderId="12" xfId="0" applyFont="1" applyFill="1" applyBorder="1" applyAlignment="1">
      <alignment horizontal="center" vertical="top"/>
    </xf>
    <xf numFmtId="0" fontId="2" fillId="10" borderId="2" xfId="0" applyFont="1" applyFill="1" applyBorder="1" applyAlignment="1" applyProtection="1">
      <alignment horizontal="center" vertical="top"/>
      <protection locked="0"/>
    </xf>
    <xf numFmtId="0" fontId="2" fillId="10" borderId="2" xfId="0" applyFont="1" applyFill="1" applyBorder="1" applyAlignment="1">
      <alignment horizontal="center" vertical="top"/>
    </xf>
    <xf numFmtId="0" fontId="2" fillId="10" borderId="23" xfId="0" applyFont="1" applyFill="1" applyBorder="1" applyAlignment="1" applyProtection="1">
      <alignment horizontal="center" vertical="top"/>
      <protection locked="0"/>
    </xf>
    <xf numFmtId="0" fontId="2" fillId="10" borderId="23" xfId="0" applyFont="1" applyFill="1" applyBorder="1" applyAlignment="1">
      <alignment horizontal="center" vertical="top"/>
    </xf>
    <xf numFmtId="0" fontId="2" fillId="10" borderId="9" xfId="0" applyFont="1" applyFill="1" applyBorder="1" applyAlignment="1" applyProtection="1">
      <alignment horizontal="center" vertical="top"/>
      <protection locked="0"/>
    </xf>
    <xf numFmtId="0" fontId="2" fillId="10" borderId="9" xfId="0" applyFont="1" applyFill="1" applyBorder="1" applyAlignment="1">
      <alignment horizontal="center" vertical="top"/>
    </xf>
    <xf numFmtId="0" fontId="16" fillId="10" borderId="1" xfId="1" applyFont="1" applyFill="1" applyBorder="1" applyAlignment="1">
      <alignment vertical="top"/>
    </xf>
    <xf numFmtId="0" fontId="17" fillId="7" borderId="1" xfId="0" applyFont="1" applyFill="1" applyBorder="1" applyAlignment="1" applyProtection="1">
      <alignment horizontal="center" vertical="top"/>
      <protection locked="0"/>
    </xf>
    <xf numFmtId="0" fontId="16" fillId="10" borderId="1" xfId="1" applyFont="1" applyFill="1" applyBorder="1" applyAlignment="1">
      <alignment vertical="top" wrapText="1"/>
    </xf>
    <xf numFmtId="0" fontId="22" fillId="0" borderId="0" xfId="2" applyFont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21" fillId="7" borderId="9" xfId="0" applyFont="1" applyFill="1" applyBorder="1" applyAlignment="1">
      <alignment horizontal="center" vertical="top"/>
    </xf>
    <xf numFmtId="0" fontId="17" fillId="10" borderId="9" xfId="0" applyFont="1" applyFill="1" applyBorder="1" applyAlignment="1">
      <alignment vertical="top"/>
    </xf>
    <xf numFmtId="0" fontId="2" fillId="2" borderId="31" xfId="0" applyFont="1" applyFill="1" applyBorder="1" applyAlignment="1">
      <alignment vertical="top" wrapText="1"/>
    </xf>
    <xf numFmtId="0" fontId="2" fillId="2" borderId="32" xfId="0" applyFont="1" applyFill="1" applyBorder="1" applyAlignment="1">
      <alignment horizontal="center" vertical="top" wrapText="1"/>
    </xf>
    <xf numFmtId="0" fontId="2" fillId="2" borderId="32" xfId="0" applyFont="1" applyFill="1" applyBorder="1" applyAlignment="1">
      <alignment horizontal="center" vertical="top"/>
    </xf>
    <xf numFmtId="0" fontId="2" fillId="2" borderId="33" xfId="0" applyFont="1" applyFill="1" applyBorder="1" applyAlignment="1">
      <alignment horizontal="center" vertical="top"/>
    </xf>
    <xf numFmtId="0" fontId="2" fillId="2" borderId="34" xfId="0" applyFont="1" applyFill="1" applyBorder="1" applyAlignment="1">
      <alignment horizontal="center" vertical="top" wrapText="1"/>
    </xf>
    <xf numFmtId="0" fontId="17" fillId="10" borderId="9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2" borderId="35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17" fillId="7" borderId="1" xfId="0" applyFont="1" applyFill="1" applyBorder="1" applyAlignment="1">
      <alignment vertical="top"/>
    </xf>
    <xf numFmtId="0" fontId="21" fillId="7" borderId="9" xfId="0" applyFont="1" applyFill="1" applyBorder="1" applyAlignment="1">
      <alignment horizontal="left" vertical="top"/>
    </xf>
    <xf numFmtId="0" fontId="24" fillId="7" borderId="1" xfId="1" applyFont="1" applyFill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14" fillId="0" borderId="36" xfId="0" applyFont="1" applyBorder="1" applyAlignment="1">
      <alignment horizontal="center" vertical="top" wrapText="1"/>
    </xf>
    <xf numFmtId="0" fontId="20" fillId="9" borderId="30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3" xfId="0" applyBorder="1"/>
    <xf numFmtId="0" fontId="0" fillId="0" borderId="4" xfId="0" applyBorder="1"/>
    <xf numFmtId="0" fontId="0" fillId="0" borderId="25" xfId="0" applyBorder="1"/>
    <xf numFmtId="0" fontId="0" fillId="0" borderId="26" xfId="0" applyBorder="1"/>
    <xf numFmtId="0" fontId="7" fillId="0" borderId="28" xfId="0" applyFont="1" applyBorder="1" applyAlignment="1">
      <alignment horizontal="center" vertical="top" wrapText="1"/>
    </xf>
    <xf numFmtId="0" fontId="0" fillId="0" borderId="17" xfId="0" applyBorder="1"/>
    <xf numFmtId="0" fontId="0" fillId="0" borderId="14" xfId="0" applyBorder="1"/>
    <xf numFmtId="0" fontId="0" fillId="0" borderId="29" xfId="0" applyBorder="1"/>
    <xf numFmtId="0" fontId="0" fillId="0" borderId="15" xfId="0" applyBorder="1"/>
    <xf numFmtId="0" fontId="4" fillId="3" borderId="27" xfId="0" applyFont="1" applyFill="1" applyBorder="1" applyAlignment="1">
      <alignment horizontal="center" vertical="top" wrapText="1"/>
    </xf>
    <xf numFmtId="0" fontId="0" fillId="0" borderId="16" xfId="0" applyBorder="1"/>
  </cellXfs>
  <cellStyles count="3">
    <cellStyle name="Гиперссылка" xfId="1" builtinId="8"/>
    <cellStyle name="Обычный" xfId="0" builtinId="0"/>
    <cellStyle name="Обычный_Прайс" xfId="2" xr:uid="{34D0CE42-AE47-4442-A014-B34C9BC230A5}"/>
  </cellStyles>
  <dxfs count="9">
    <dxf>
      <font>
        <color rgb="FFD9EAD3"/>
      </font>
      <fill>
        <patternFill patternType="solid">
          <fgColor rgb="FFD9EAD3"/>
          <bgColor rgb="FFD9EAD3"/>
        </patternFill>
      </fill>
    </dxf>
    <dxf>
      <font>
        <color rgb="FFD9EAD3"/>
      </font>
      <fill>
        <patternFill patternType="solid">
          <fgColor rgb="FFD9EAD3"/>
          <bgColor rgb="FFD9EAD3"/>
        </patternFill>
      </fill>
    </dxf>
    <dxf>
      <font>
        <color rgb="FFD9EAD3"/>
      </font>
      <fill>
        <patternFill patternType="solid">
          <fgColor rgb="FFD9EAD3"/>
          <bgColor rgb="FFD9EAD3"/>
        </patternFill>
      </fill>
    </dxf>
    <dxf>
      <font>
        <color rgb="FFD9EAD3"/>
      </font>
      <fill>
        <patternFill patternType="solid">
          <fgColor rgb="FFD9EAD3"/>
          <bgColor rgb="FFD9EAD3"/>
        </patternFill>
      </fill>
    </dxf>
    <dxf>
      <font>
        <color rgb="FFD9EAD3"/>
      </font>
      <fill>
        <patternFill patternType="solid">
          <fgColor rgb="FFD9EAD3"/>
          <bgColor rgb="FFD9EAD3"/>
        </patternFill>
      </fill>
    </dxf>
    <dxf>
      <font>
        <color rgb="FFD9EAD3"/>
      </font>
      <fill>
        <patternFill patternType="solid">
          <fgColor rgb="FFD9EAD3"/>
          <bgColor rgb="FFD9EAD3"/>
        </patternFill>
      </fill>
    </dxf>
    <dxf>
      <font>
        <color rgb="FFD9EAD3"/>
      </font>
      <fill>
        <patternFill patternType="solid">
          <fgColor rgb="FFD9EAD3"/>
          <bgColor rgb="FFD9EAD3"/>
        </patternFill>
      </fill>
    </dxf>
    <dxf>
      <font>
        <color rgb="FFD9EAD3"/>
      </font>
      <fill>
        <patternFill patternType="solid">
          <fgColor rgb="FFD9EAD3"/>
          <bgColor rgb="FFD9EAD3"/>
        </patternFill>
      </fill>
    </dxf>
    <dxf>
      <font>
        <color rgb="FFD9EAD3"/>
      </font>
      <fill>
        <patternFill patternType="solid">
          <fgColor rgb="FFD9EAD3"/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rowdgames.ru/collection/pax-illuminaten-russkoe-izda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8"/>
  <sheetViews>
    <sheetView tabSelected="1" view="pageBreakPreview" zoomScaleNormal="100" zoomScaleSheetLayoutView="100" workbookViewId="0">
      <selection activeCell="F4" sqref="F4"/>
    </sheetView>
  </sheetViews>
  <sheetFormatPr defaultColWidth="9.109375" defaultRowHeight="14.4" x14ac:dyDescent="0.3"/>
  <cols>
    <col min="1" max="1" width="41" style="27" customWidth="1"/>
    <col min="2" max="2" width="16.88671875" style="29" customWidth="1"/>
    <col min="3" max="3" width="10.44140625" style="7" customWidth="1"/>
    <col min="4" max="4" width="10.6640625" style="7" customWidth="1"/>
    <col min="5" max="5" width="10.6640625" style="11" customWidth="1"/>
    <col min="6" max="6" width="10.6640625" style="7" customWidth="1"/>
    <col min="7" max="7" width="20" style="7" hidden="1" customWidth="1"/>
    <col min="8" max="8" width="10.6640625" style="7" customWidth="1"/>
    <col min="9" max="9" width="1.77734375" style="2" customWidth="1"/>
    <col min="10" max="11" width="13.33203125" style="2" customWidth="1"/>
    <col min="12" max="16384" width="9.109375" style="2"/>
  </cols>
  <sheetData>
    <row r="1" spans="1:11" x14ac:dyDescent="0.3">
      <c r="A1" s="93" t="s">
        <v>47</v>
      </c>
      <c r="B1" s="93"/>
      <c r="C1" s="93"/>
      <c r="D1" s="93"/>
      <c r="E1" s="93"/>
      <c r="F1" s="93"/>
      <c r="G1" s="93"/>
      <c r="H1" s="93"/>
      <c r="I1" s="85"/>
    </row>
    <row r="2" spans="1:11" ht="16.05" customHeight="1" thickBot="1" x14ac:dyDescent="0.35">
      <c r="A2" s="94" t="s">
        <v>0</v>
      </c>
      <c r="B2" s="94"/>
      <c r="C2" s="94"/>
      <c r="D2" s="94"/>
      <c r="E2" s="94"/>
      <c r="F2" s="94"/>
      <c r="G2" s="94"/>
      <c r="H2" s="94"/>
    </row>
    <row r="3" spans="1:11" ht="30" customHeight="1" thickBot="1" x14ac:dyDescent="0.35">
      <c r="A3" s="79" t="s">
        <v>1</v>
      </c>
      <c r="B3" s="80" t="s">
        <v>2</v>
      </c>
      <c r="C3" s="83" t="s">
        <v>28</v>
      </c>
      <c r="D3" s="81" t="s">
        <v>3</v>
      </c>
      <c r="E3" s="80" t="s">
        <v>4</v>
      </c>
      <c r="F3" s="81" t="s">
        <v>5</v>
      </c>
      <c r="G3" s="81" t="s">
        <v>6</v>
      </c>
      <c r="H3" s="82" t="s">
        <v>7</v>
      </c>
      <c r="J3" s="8"/>
    </row>
    <row r="4" spans="1:11" ht="30" x14ac:dyDescent="0.3">
      <c r="A4" s="92" t="str">
        <f>HYPERLINK("https://www.crowdgames.ru/collection/gunsen-bitva-za-toshi-ranbo", "Гунсэн. Битва за Тоши Ранбо (Новинка)")</f>
        <v>Гунсэн. Битва за Тоши Ранбо (Новинка)</v>
      </c>
      <c r="B4" s="77">
        <v>16463</v>
      </c>
      <c r="C4" s="91" t="s">
        <v>42</v>
      </c>
      <c r="D4" s="50">
        <v>5490</v>
      </c>
      <c r="E4" s="53">
        <f t="shared" ref="E4:E34" si="0">D4*(1-$D$183)</f>
        <v>5490</v>
      </c>
      <c r="F4" s="73"/>
      <c r="G4" s="50">
        <f t="shared" ref="G4:G39" si="1">D4*F4</f>
        <v>0</v>
      </c>
      <c r="H4" s="90">
        <f t="shared" ref="H4:H7" si="2">F4*E4</f>
        <v>0</v>
      </c>
      <c r="J4" s="30"/>
      <c r="K4" s="31"/>
    </row>
    <row r="5" spans="1:11" ht="28.2" customHeight="1" x14ac:dyDescent="0.3">
      <c r="A5" s="92" t="str">
        <f>HYPERLINK("https://www.crowdgames.ru/collection/an7fgdh340jv0d?theme_preview=9467945", "Замурчательное место (Новинка)")</f>
        <v>Замурчательное место (Новинка)</v>
      </c>
      <c r="B5" s="77">
        <v>16328</v>
      </c>
      <c r="C5" s="91" t="s">
        <v>42</v>
      </c>
      <c r="D5" s="50">
        <v>990</v>
      </c>
      <c r="E5" s="53">
        <f t="shared" si="0"/>
        <v>990</v>
      </c>
      <c r="F5" s="73"/>
      <c r="G5" s="50">
        <f t="shared" ref="G5" si="3">D5*F5</f>
        <v>0</v>
      </c>
      <c r="H5" s="90">
        <f t="shared" ref="H5" si="4">F5*E5</f>
        <v>0</v>
      </c>
      <c r="J5" s="30"/>
      <c r="K5" s="31"/>
    </row>
    <row r="6" spans="1:11" ht="28.2" customHeight="1" x14ac:dyDescent="0.3">
      <c r="A6" s="92" t="str">
        <f>HYPERLINK("https://www.crowdgames.ru/collection/an7fgdh340jv0d?theme_preview=9467945", "Котокубики (Новинка)")</f>
        <v>Котокубики (Новинка)</v>
      </c>
      <c r="B6" s="77">
        <v>16340</v>
      </c>
      <c r="C6" s="91" t="s">
        <v>42</v>
      </c>
      <c r="D6" s="50">
        <v>2490</v>
      </c>
      <c r="E6" s="53">
        <f t="shared" si="0"/>
        <v>2490</v>
      </c>
      <c r="F6" s="73"/>
      <c r="G6" s="50">
        <f t="shared" si="1"/>
        <v>0</v>
      </c>
      <c r="H6" s="90">
        <f t="shared" si="2"/>
        <v>0</v>
      </c>
      <c r="J6" s="30"/>
      <c r="K6" s="31"/>
    </row>
    <row r="7" spans="1:11" ht="28.2" customHeight="1" x14ac:dyDescent="0.3">
      <c r="A7" s="92" t="str">
        <f>HYPERLINK("https://www.crowdgames.ru/collection/an7fgdh340jv0d?theme_preview=9467945", "Кот и башня (Новинка)")</f>
        <v>Кот и башня (Новинка)</v>
      </c>
      <c r="B7" s="77">
        <v>16335</v>
      </c>
      <c r="C7" s="91" t="s">
        <v>42</v>
      </c>
      <c r="D7" s="50">
        <v>1990</v>
      </c>
      <c r="E7" s="53">
        <f t="shared" si="0"/>
        <v>1990</v>
      </c>
      <c r="F7" s="73"/>
      <c r="G7" s="50">
        <f t="shared" si="1"/>
        <v>0</v>
      </c>
      <c r="H7" s="90">
        <f t="shared" si="2"/>
        <v>0</v>
      </c>
      <c r="J7" s="30"/>
      <c r="K7" s="31"/>
    </row>
    <row r="8" spans="1:11" ht="30" customHeight="1" x14ac:dyDescent="0.3">
      <c r="A8" s="72" t="str">
        <f>HYPERLINK("https://www.crowdgames.ru/collection/anunnaki-rassvet-bogov", "Ануннаки. Рассвет богов")</f>
        <v>Ануннаки. Рассвет богов</v>
      </c>
      <c r="B8" s="51">
        <v>16222</v>
      </c>
      <c r="C8" s="78" t="s">
        <v>42</v>
      </c>
      <c r="D8" s="52">
        <v>9490</v>
      </c>
      <c r="E8" s="53">
        <f t="shared" si="0"/>
        <v>9490</v>
      </c>
      <c r="F8" s="73"/>
      <c r="G8" s="50">
        <f t="shared" ref="G8" si="5">D8*F8</f>
        <v>0</v>
      </c>
      <c r="H8" s="90">
        <f t="shared" ref="H8" si="6">F8*E8</f>
        <v>0</v>
      </c>
      <c r="J8" s="30"/>
      <c r="K8" s="31"/>
    </row>
    <row r="9" spans="1:11" ht="30" customHeight="1" x14ac:dyDescent="0.3">
      <c r="A9" s="72" t="str">
        <f>HYPERLINK("https://www.crowdgames.ru/collection/putevoditeli", "Аркхэм. Путеводитель")</f>
        <v>Аркхэм. Путеводитель</v>
      </c>
      <c r="B9" s="51">
        <v>16414</v>
      </c>
      <c r="C9" s="78" t="s">
        <v>42</v>
      </c>
      <c r="D9" s="52">
        <v>990</v>
      </c>
      <c r="E9" s="53">
        <f t="shared" si="0"/>
        <v>990</v>
      </c>
      <c r="F9" s="54"/>
      <c r="G9" s="52">
        <f t="shared" si="1"/>
        <v>0</v>
      </c>
      <c r="H9" s="55">
        <f t="shared" ref="H9:H39" si="7">F9*E9</f>
        <v>0</v>
      </c>
      <c r="J9" s="30"/>
      <c r="K9" s="31"/>
    </row>
    <row r="10" spans="1:11" ht="30" customHeight="1" x14ac:dyDescent="0.3">
      <c r="A10" s="72" t="str">
        <f>HYPERLINK("https://www.crowdgames.ru/collection/ahoy", "Ахой")</f>
        <v>Ахой</v>
      </c>
      <c r="B10" s="51">
        <v>16232</v>
      </c>
      <c r="C10" s="78" t="s">
        <v>42</v>
      </c>
      <c r="D10" s="52">
        <v>4290</v>
      </c>
      <c r="E10" s="53">
        <f t="shared" si="0"/>
        <v>4290</v>
      </c>
      <c r="F10" s="54"/>
      <c r="G10" s="52">
        <f t="shared" si="1"/>
        <v>0</v>
      </c>
      <c r="H10" s="55">
        <f t="shared" si="7"/>
        <v>0</v>
      </c>
      <c r="J10" s="30"/>
      <c r="K10" s="31"/>
    </row>
    <row r="11" spans="1:11" ht="30" customHeight="1" x14ac:dyDescent="0.3">
      <c r="A11" s="72" t="str">
        <f>HYPERLINK("https://www.crowdgames.ru/collection/winnie-pooh-serioznie-dela", "Винни-Пух. Серьёзные дела")</f>
        <v>Винни-Пух. Серьёзные дела</v>
      </c>
      <c r="B11" s="51">
        <v>16332</v>
      </c>
      <c r="C11" s="78" t="s">
        <v>42</v>
      </c>
      <c r="D11" s="52">
        <v>3990</v>
      </c>
      <c r="E11" s="53">
        <f t="shared" si="0"/>
        <v>3990</v>
      </c>
      <c r="F11" s="54"/>
      <c r="G11" s="52">
        <f t="shared" si="1"/>
        <v>0</v>
      </c>
      <c r="H11" s="55">
        <f t="shared" si="7"/>
        <v>0</v>
      </c>
      <c r="J11" s="30"/>
      <c r="K11" s="31"/>
    </row>
    <row r="12" spans="1:11" ht="30" customHeight="1" x14ac:dyDescent="0.3">
      <c r="A12" s="72" t="str">
        <f>HYPERLINK("https://www.crowdgames.ru/collection/galakticheskiy-kruiz", "Галактический круиз")</f>
        <v>Галактический круиз</v>
      </c>
      <c r="B12" s="51">
        <v>16272</v>
      </c>
      <c r="C12" s="78" t="s">
        <v>42</v>
      </c>
      <c r="D12" s="52">
        <v>10490</v>
      </c>
      <c r="E12" s="53">
        <f t="shared" si="0"/>
        <v>10490</v>
      </c>
      <c r="F12" s="54"/>
      <c r="G12" s="52">
        <f t="shared" si="1"/>
        <v>0</v>
      </c>
      <c r="H12" s="55">
        <f t="shared" si="7"/>
        <v>0</v>
      </c>
      <c r="J12" s="30"/>
      <c r="K12" s="31"/>
    </row>
    <row r="13" spans="1:11" ht="30" customHeight="1" x14ac:dyDescent="0.3">
      <c r="A13" s="72" t="str">
        <f>HYPERLINK("https://www.crowdgames.ru/collection/galakticheskiy-kruiz", "Галактический круиз. Комфорт")</f>
        <v>Галактический круиз. Комфорт</v>
      </c>
      <c r="B13" s="51">
        <v>16282</v>
      </c>
      <c r="C13" s="78" t="s">
        <v>42</v>
      </c>
      <c r="D13" s="52">
        <v>1990</v>
      </c>
      <c r="E13" s="53">
        <f t="shared" si="0"/>
        <v>1990</v>
      </c>
      <c r="F13" s="54"/>
      <c r="G13" s="52">
        <f t="shared" si="1"/>
        <v>0</v>
      </c>
      <c r="H13" s="55">
        <f t="shared" si="7"/>
        <v>0</v>
      </c>
      <c r="J13" s="30"/>
      <c r="K13" s="31"/>
    </row>
    <row r="14" spans="1:11" ht="30" customHeight="1" x14ac:dyDescent="0.3">
      <c r="A14" s="72" t="str">
        <f>HYPERLINK("https://www.crowdgames.ru/collection/galakticheskiy-kruiz","Галактический круиз. Прогресс")</f>
        <v>Галактический круиз. Прогресс</v>
      </c>
      <c r="B14" s="51">
        <v>16281</v>
      </c>
      <c r="C14" s="78" t="s">
        <v>42</v>
      </c>
      <c r="D14" s="52">
        <v>1990</v>
      </c>
      <c r="E14" s="53">
        <f t="shared" si="0"/>
        <v>1990</v>
      </c>
      <c r="F14" s="54"/>
      <c r="G14" s="52">
        <f t="shared" si="1"/>
        <v>0</v>
      </c>
      <c r="H14" s="55">
        <f t="shared" si="7"/>
        <v>0</v>
      </c>
      <c r="J14" s="30"/>
      <c r="K14" s="31"/>
    </row>
    <row r="15" spans="1:11" ht="30" customHeight="1" thickBot="1" x14ac:dyDescent="0.35">
      <c r="A15" s="72" t="str">
        <f>HYPERLINK("https://www.crowdgames.ru/collection/galerist", "Галерист")</f>
        <v>Галерист</v>
      </c>
      <c r="B15" s="51">
        <v>16207</v>
      </c>
      <c r="C15" s="78" t="s">
        <v>42</v>
      </c>
      <c r="D15" s="52">
        <v>10990</v>
      </c>
      <c r="E15" s="53">
        <f t="shared" si="0"/>
        <v>10990</v>
      </c>
      <c r="F15" s="54"/>
      <c r="G15" s="52">
        <f t="shared" si="1"/>
        <v>0</v>
      </c>
      <c r="H15" s="55">
        <f t="shared" si="7"/>
        <v>0</v>
      </c>
      <c r="J15" s="30"/>
      <c r="K15" s="31"/>
    </row>
    <row r="16" spans="1:11" ht="30" customHeight="1" thickBot="1" x14ac:dyDescent="0.35">
      <c r="A16" s="74" t="str">
        <f>HYPERLINK("https://www.crowdgames.ru/collection/grand-otel-avstriya", "Гранд-отель «Австрия». Второе издание
")</f>
        <v xml:space="preserve">Гранд-отель «Австрия». Второе издание
</v>
      </c>
      <c r="B16" s="51">
        <v>16212</v>
      </c>
      <c r="C16" s="78" t="s">
        <v>42</v>
      </c>
      <c r="D16" s="52">
        <v>5990</v>
      </c>
      <c r="E16" s="53">
        <f t="shared" si="0"/>
        <v>5990</v>
      </c>
      <c r="F16" s="57"/>
      <c r="G16" s="58">
        <f t="shared" si="1"/>
        <v>0</v>
      </c>
      <c r="H16" s="55">
        <f t="shared" si="7"/>
        <v>0</v>
      </c>
      <c r="J16" s="106" t="s">
        <v>8</v>
      </c>
      <c r="K16" s="107"/>
    </row>
    <row r="17" spans="1:11" ht="30" customHeight="1" thickBot="1" x14ac:dyDescent="0.35">
      <c r="A17" s="74" t="str">
        <f>HYPERLINK("https://www.crowdgames.ru/collection/grand-otel-avstriya-stantsuem-vals", "Гранд-отель «Австрия». Станцуем вальс!
 (Дополнение)")</f>
        <v>Гранд-отель «Австрия». Станцуем вальс!
 (Дополнение)</v>
      </c>
      <c r="B17" s="51">
        <v>16216</v>
      </c>
      <c r="C17" s="78" t="s">
        <v>42</v>
      </c>
      <c r="D17" s="52">
        <v>3990</v>
      </c>
      <c r="E17" s="53">
        <f t="shared" si="0"/>
        <v>3990</v>
      </c>
      <c r="F17" s="57"/>
      <c r="G17" s="58">
        <f t="shared" si="1"/>
        <v>0</v>
      </c>
      <c r="H17" s="55">
        <f t="shared" si="7"/>
        <v>0</v>
      </c>
      <c r="J17" s="101" t="s">
        <v>27</v>
      </c>
      <c r="K17" s="102"/>
    </row>
    <row r="18" spans="1:11" ht="30" customHeight="1" x14ac:dyDescent="0.3">
      <c r="A18" s="74" t="str">
        <f>HYPERLINK("https://www.crowdgames.ru/collection/dzhon-kompani-vtoroe-izdanie", "Джон Компани. Второе издание")</f>
        <v>Джон Компани. Второе издание</v>
      </c>
      <c r="B18" s="51">
        <v>16231</v>
      </c>
      <c r="C18" s="78" t="s">
        <v>42</v>
      </c>
      <c r="D18" s="52">
        <v>9490</v>
      </c>
      <c r="E18" s="53">
        <f t="shared" si="0"/>
        <v>9490</v>
      </c>
      <c r="F18" s="57"/>
      <c r="G18" s="58">
        <f t="shared" si="1"/>
        <v>0</v>
      </c>
      <c r="H18" s="55">
        <f t="shared" si="7"/>
        <v>0</v>
      </c>
      <c r="J18" s="97"/>
      <c r="K18" s="103"/>
    </row>
    <row r="19" spans="1:11" ht="30" customHeight="1" thickBot="1" x14ac:dyDescent="0.35">
      <c r="A19" s="74" t="str">
        <f>HYPERLINK("https://www.crowdgames.ru/collection/dom-fadu", "Дом фаду")</f>
        <v>Дом фаду</v>
      </c>
      <c r="B19" s="51">
        <v>16263</v>
      </c>
      <c r="C19" s="78" t="s">
        <v>42</v>
      </c>
      <c r="D19" s="52">
        <v>6990</v>
      </c>
      <c r="E19" s="53">
        <f t="shared" si="0"/>
        <v>6990</v>
      </c>
      <c r="F19" s="57"/>
      <c r="G19" s="58">
        <f t="shared" si="1"/>
        <v>0</v>
      </c>
      <c r="H19" s="55">
        <f t="shared" si="7"/>
        <v>0</v>
      </c>
      <c r="J19" s="104"/>
      <c r="K19" s="105"/>
    </row>
    <row r="20" spans="1:11" ht="30" customHeight="1" thickBot="1" x14ac:dyDescent="0.35">
      <c r="A20" s="74" t="str">
        <f>HYPERLINK("https://www.crowdgames.ru/collection/za-korony", "За корону!")</f>
        <v>За корону!</v>
      </c>
      <c r="B20" s="51">
        <v>16322</v>
      </c>
      <c r="C20" s="78" t="s">
        <v>42</v>
      </c>
      <c r="D20" s="52">
        <v>3990</v>
      </c>
      <c r="E20" s="53">
        <f t="shared" si="0"/>
        <v>3990</v>
      </c>
      <c r="F20" s="57"/>
      <c r="G20" s="58">
        <f t="shared" si="1"/>
        <v>0</v>
      </c>
      <c r="H20" s="55">
        <f t="shared" si="7"/>
        <v>0</v>
      </c>
      <c r="J20" s="40" t="s">
        <v>9</v>
      </c>
      <c r="K20" s="39" t="s">
        <v>10</v>
      </c>
    </row>
    <row r="21" spans="1:11" ht="30" customHeight="1" x14ac:dyDescent="0.3">
      <c r="A21" s="74" t="str">
        <f>HYPERLINK("https://www.crowdgames.ru/collection/za-nortvud","«За Нортвуд!»")</f>
        <v>«За Нортвуд!»</v>
      </c>
      <c r="B21" s="51">
        <v>16325</v>
      </c>
      <c r="C21" s="78" t="s">
        <v>42</v>
      </c>
      <c r="D21" s="52">
        <v>1290</v>
      </c>
      <c r="E21" s="53">
        <f t="shared" si="0"/>
        <v>1290</v>
      </c>
      <c r="F21" s="57"/>
      <c r="G21" s="58">
        <f t="shared" si="1"/>
        <v>0</v>
      </c>
      <c r="H21" s="55">
        <f t="shared" si="7"/>
        <v>0</v>
      </c>
      <c r="J21" s="41">
        <v>20000</v>
      </c>
      <c r="K21" s="42">
        <v>0.3</v>
      </c>
    </row>
    <row r="22" spans="1:11" ht="30" customHeight="1" x14ac:dyDescent="0.3">
      <c r="A22" s="74" t="str">
        <f>HYPERLINK("https://www.crowdgames.ru/collection/zapovednik-ischezayuschie-vidy", "Заповедник. Исчезающие виды")</f>
        <v>Заповедник. Исчезающие виды</v>
      </c>
      <c r="B22" s="51">
        <v>16300</v>
      </c>
      <c r="C22" s="78" t="s">
        <v>42</v>
      </c>
      <c r="D22" s="52">
        <v>3400</v>
      </c>
      <c r="E22" s="53">
        <f t="shared" si="0"/>
        <v>3400</v>
      </c>
      <c r="F22" s="57"/>
      <c r="G22" s="58">
        <f t="shared" si="1"/>
        <v>0</v>
      </c>
      <c r="H22" s="55">
        <f t="shared" si="7"/>
        <v>0</v>
      </c>
      <c r="J22" s="43">
        <v>32500</v>
      </c>
      <c r="K22" s="44">
        <v>0.32500000000000001</v>
      </c>
    </row>
    <row r="23" spans="1:11" ht="30" customHeight="1" x14ac:dyDescent="0.3">
      <c r="A23" s="74" t="str">
        <f>HYPERLINK("https://www.crowdgames.ru/collection/zvyozdy-akariosa", "Звёзды Акариоса")</f>
        <v>Звёзды Акариоса</v>
      </c>
      <c r="B23" s="51">
        <v>16258</v>
      </c>
      <c r="C23" s="78" t="s">
        <v>42</v>
      </c>
      <c r="D23" s="52">
        <v>14990</v>
      </c>
      <c r="E23" s="53">
        <f t="shared" si="0"/>
        <v>14990</v>
      </c>
      <c r="F23" s="57"/>
      <c r="G23" s="58">
        <f t="shared" si="1"/>
        <v>0</v>
      </c>
      <c r="H23" s="55">
        <f t="shared" si="7"/>
        <v>0</v>
      </c>
      <c r="J23" s="43">
        <v>45000</v>
      </c>
      <c r="K23" s="44">
        <v>0.35</v>
      </c>
    </row>
    <row r="24" spans="1:11" ht="30" customHeight="1" x14ac:dyDescent="0.3">
      <c r="A24" s="74" t="str">
        <f>HYPERLINK("https://www.crowdgames.ru/collection/zvyozdy-akariosa", "Звёзды Акариоса. Битвы Акариоса (Дополнение)")</f>
        <v>Звёзды Акариоса. Битвы Акариоса (Дополнение)</v>
      </c>
      <c r="B24" s="51">
        <v>16265</v>
      </c>
      <c r="C24" s="78" t="s">
        <v>42</v>
      </c>
      <c r="D24" s="52">
        <v>3190</v>
      </c>
      <c r="E24" s="53">
        <f t="shared" si="0"/>
        <v>3190</v>
      </c>
      <c r="F24" s="59"/>
      <c r="G24" s="60">
        <f t="shared" si="1"/>
        <v>0</v>
      </c>
      <c r="H24" s="55">
        <f t="shared" si="7"/>
        <v>0</v>
      </c>
      <c r="J24" s="45">
        <v>60000</v>
      </c>
      <c r="K24" s="46">
        <v>0.375</v>
      </c>
    </row>
    <row r="25" spans="1:11" ht="30" customHeight="1" thickBot="1" x14ac:dyDescent="0.35">
      <c r="A25" s="74" t="str">
        <f>HYPERLINK("https://www.crowdgames.ru/collection/zvyozdy-akariosa", "Звёзды Акариоса. Дроны Акариоса (Дополнение)")</f>
        <v>Звёзды Акариоса. Дроны Акариоса (Дополнение)</v>
      </c>
      <c r="B25" s="51">
        <v>16266</v>
      </c>
      <c r="C25" s="78" t="s">
        <v>42</v>
      </c>
      <c r="D25" s="52">
        <v>3590</v>
      </c>
      <c r="E25" s="53">
        <f t="shared" si="0"/>
        <v>3590</v>
      </c>
      <c r="F25" s="57"/>
      <c r="G25" s="58">
        <f t="shared" si="1"/>
        <v>0</v>
      </c>
      <c r="H25" s="55">
        <f t="shared" si="7"/>
        <v>0</v>
      </c>
      <c r="J25" s="47">
        <v>90000</v>
      </c>
      <c r="K25" s="48">
        <v>0.4</v>
      </c>
    </row>
    <row r="26" spans="1:11" ht="30" customHeight="1" thickBot="1" x14ac:dyDescent="0.35">
      <c r="A26" s="74" t="str">
        <f>HYPERLINK("https://www.crowdgames.ru/collection/zvyozdy-akariosa", "Звёзды Акариоса. Корабли Акариоса (Дополнение)")</f>
        <v>Звёзды Акариоса. Корабли Акариоса (Дополнение)</v>
      </c>
      <c r="B26" s="51">
        <v>16299</v>
      </c>
      <c r="C26" s="78" t="s">
        <v>43</v>
      </c>
      <c r="D26" s="52">
        <v>4990</v>
      </c>
      <c r="E26" s="53">
        <f t="shared" si="0"/>
        <v>4990</v>
      </c>
      <c r="F26" s="57"/>
      <c r="G26" s="58">
        <f t="shared" si="1"/>
        <v>0</v>
      </c>
      <c r="H26" s="55">
        <f t="shared" si="7"/>
        <v>0</v>
      </c>
      <c r="J26" s="95" t="s">
        <v>11</v>
      </c>
      <c r="K26" s="96"/>
    </row>
    <row r="27" spans="1:11" ht="30" customHeight="1" x14ac:dyDescent="0.3">
      <c r="A27" s="74" t="str">
        <f>HYPERLINK("https://www.crowdgames.ru/collection/zvyozdy-akariosa", "Звёзды Акариоса. Плеймат (Аксессуар)")</f>
        <v>Звёзды Акариоса. Плеймат (Аксессуар)</v>
      </c>
      <c r="B27" s="51" t="s">
        <v>12</v>
      </c>
      <c r="C27" s="78" t="s">
        <v>43</v>
      </c>
      <c r="D27" s="52">
        <v>3750</v>
      </c>
      <c r="E27" s="53">
        <f t="shared" si="0"/>
        <v>3750</v>
      </c>
      <c r="F27" s="57"/>
      <c r="G27" s="58">
        <f t="shared" si="1"/>
        <v>0</v>
      </c>
      <c r="H27" s="55">
        <f t="shared" si="7"/>
        <v>0</v>
      </c>
      <c r="J27" s="97"/>
      <c r="K27" s="98"/>
    </row>
    <row r="28" spans="1:11" ht="30" customHeight="1" x14ac:dyDescent="0.3">
      <c r="A28" s="74" t="str">
        <f>HYPERLINK("https://www.crowdgames.ru/collection/zelyonyy-dom", "Зелёный дом")</f>
        <v>Зелёный дом</v>
      </c>
      <c r="B28" s="51">
        <v>16219</v>
      </c>
      <c r="C28" s="78" t="s">
        <v>42</v>
      </c>
      <c r="D28" s="52">
        <v>4290</v>
      </c>
      <c r="E28" s="53">
        <f t="shared" si="0"/>
        <v>4290</v>
      </c>
      <c r="F28" s="57"/>
      <c r="G28" s="58">
        <f t="shared" si="1"/>
        <v>0</v>
      </c>
      <c r="H28" s="55">
        <f t="shared" si="7"/>
        <v>0</v>
      </c>
      <c r="J28" s="97"/>
      <c r="K28" s="98"/>
    </row>
    <row r="29" spans="1:11" ht="30" customHeight="1" x14ac:dyDescent="0.3">
      <c r="A29" s="74" t="str">
        <f>HYPERLINK("https://www.crowdgames.ru/collection/zemlya-skazaniy", "Земля сказаний")</f>
        <v>Земля сказаний</v>
      </c>
      <c r="B29" s="51">
        <v>16208</v>
      </c>
      <c r="C29" s="78" t="s">
        <v>42</v>
      </c>
      <c r="D29" s="52">
        <v>2690</v>
      </c>
      <c r="E29" s="53">
        <f t="shared" si="0"/>
        <v>2690</v>
      </c>
      <c r="F29" s="57"/>
      <c r="G29" s="58">
        <f t="shared" si="1"/>
        <v>0</v>
      </c>
      <c r="H29" s="55">
        <f t="shared" si="7"/>
        <v>0</v>
      </c>
      <c r="J29" s="97"/>
      <c r="K29" s="98"/>
    </row>
    <row r="30" spans="1:11" ht="30" customHeight="1" x14ac:dyDescent="0.3">
      <c r="A30" s="74" t="str">
        <f>HYPERLINK("https://www.crowdgames.ru/collection/zloveschaya-akademiya", "Зловещая академия")</f>
        <v>Зловещая академия</v>
      </c>
      <c r="B30" s="51">
        <v>16308</v>
      </c>
      <c r="C30" s="78" t="s">
        <v>42</v>
      </c>
      <c r="D30" s="52">
        <v>2990</v>
      </c>
      <c r="E30" s="53">
        <f t="shared" si="0"/>
        <v>2990</v>
      </c>
      <c r="F30" s="57"/>
      <c r="G30" s="58">
        <f t="shared" si="1"/>
        <v>0</v>
      </c>
      <c r="H30" s="55">
        <f t="shared" si="7"/>
        <v>0</v>
      </c>
      <c r="J30" s="97"/>
      <c r="K30" s="98"/>
    </row>
    <row r="31" spans="1:11" ht="30" customHeight="1" x14ac:dyDescent="0.3">
      <c r="A31" s="74" t="str">
        <f>HYPERLINK("https://www.crowdgames.ru/collection/zolotoy-kubok", "Золотой кубок")</f>
        <v>Золотой кубок</v>
      </c>
      <c r="B31" s="51">
        <v>16278</v>
      </c>
      <c r="C31" s="78" t="s">
        <v>42</v>
      </c>
      <c r="D31" s="52">
        <v>4290</v>
      </c>
      <c r="E31" s="53">
        <f t="shared" si="0"/>
        <v>4290</v>
      </c>
      <c r="F31" s="57"/>
      <c r="G31" s="58">
        <f t="shared" si="1"/>
        <v>0</v>
      </c>
      <c r="H31" s="55">
        <f t="shared" si="7"/>
        <v>0</v>
      </c>
      <c r="J31" s="97"/>
      <c r="K31" s="98"/>
    </row>
    <row r="32" spans="1:11" ht="30" customHeight="1" thickBot="1" x14ac:dyDescent="0.35">
      <c r="A32" s="74" t="str">
        <f>HYPERLINK("https://www.crowdgames.ru/collection/izobreteniya-evolyutsiya-idey", "Изобретения. Эволюция идей")</f>
        <v>Изобретения. Эволюция идей</v>
      </c>
      <c r="B32" s="51">
        <v>16221</v>
      </c>
      <c r="C32" s="78" t="s">
        <v>42</v>
      </c>
      <c r="D32" s="52">
        <v>14990</v>
      </c>
      <c r="E32" s="53">
        <f t="shared" si="0"/>
        <v>14990</v>
      </c>
      <c r="F32" s="57"/>
      <c r="G32" s="58">
        <f t="shared" si="1"/>
        <v>0</v>
      </c>
      <c r="H32" s="55">
        <f t="shared" si="7"/>
        <v>0</v>
      </c>
      <c r="J32" s="99"/>
      <c r="K32" s="100"/>
    </row>
    <row r="33" spans="1:11" ht="30" customHeight="1" x14ac:dyDescent="0.3">
      <c r="A33" s="74" t="str">
        <f>HYPERLINK("https://www.crowdgames.ru/collection/putevoditeli", "Инсмут. Путеводитель")</f>
        <v>Инсмут. Путеводитель</v>
      </c>
      <c r="B33" s="51">
        <v>16419</v>
      </c>
      <c r="C33" s="78" t="s">
        <v>42</v>
      </c>
      <c r="D33" s="52">
        <v>990</v>
      </c>
      <c r="E33" s="53">
        <f t="shared" si="0"/>
        <v>990</v>
      </c>
      <c r="F33" s="57"/>
      <c r="G33" s="58">
        <f t="shared" si="1"/>
        <v>0</v>
      </c>
      <c r="H33" s="55">
        <f t="shared" si="7"/>
        <v>0</v>
      </c>
      <c r="J33" s="49"/>
      <c r="K33" s="49"/>
    </row>
    <row r="34" spans="1:11" ht="30" customHeight="1" x14ac:dyDescent="0.3">
      <c r="A34" s="74" t="str">
        <f>HYPERLINK("https://www.crowdgames.ru/collection/karta-zvyozd", "Карта звёзд")</f>
        <v>Карта звёзд</v>
      </c>
      <c r="B34" s="51">
        <v>16323</v>
      </c>
      <c r="C34" s="78" t="s">
        <v>42</v>
      </c>
      <c r="D34" s="52">
        <v>1590</v>
      </c>
      <c r="E34" s="53">
        <f t="shared" si="0"/>
        <v>1590</v>
      </c>
      <c r="F34" s="57"/>
      <c r="G34" s="58">
        <f t="shared" si="1"/>
        <v>0</v>
      </c>
      <c r="H34" s="55">
        <f t="shared" si="7"/>
        <v>0</v>
      </c>
      <c r="J34" s="30"/>
    </row>
    <row r="35" spans="1:11" ht="30" customHeight="1" x14ac:dyDescent="0.3">
      <c r="A35" s="74" t="str">
        <f>HYPERLINK("https://www.crowdgames.ru/collection/kaskadiya", "Каскадия")</f>
        <v>Каскадия</v>
      </c>
      <c r="B35" s="51">
        <v>16172</v>
      </c>
      <c r="C35" s="78" t="s">
        <v>42</v>
      </c>
      <c r="D35" s="52">
        <v>4290</v>
      </c>
      <c r="E35" s="53">
        <f t="shared" ref="E35:E68" si="8">D35*(1-$D$183)</f>
        <v>4290</v>
      </c>
      <c r="F35" s="57"/>
      <c r="G35" s="58">
        <f t="shared" si="1"/>
        <v>0</v>
      </c>
      <c r="H35" s="55">
        <f t="shared" si="7"/>
        <v>0</v>
      </c>
    </row>
    <row r="36" spans="1:11" ht="30" customHeight="1" x14ac:dyDescent="0.3">
      <c r="A36" s="74" t="str">
        <f>HYPERLINK("https://www.crowdgames.ru/collection/kaskadiya-orientiry", "Каскадия. Ориентиры (Дополнение)")</f>
        <v>Каскадия. Ориентиры (Дополнение)</v>
      </c>
      <c r="B36" s="51">
        <v>16229</v>
      </c>
      <c r="C36" s="78" t="s">
        <v>42</v>
      </c>
      <c r="D36" s="52">
        <v>3490</v>
      </c>
      <c r="E36" s="53">
        <f t="shared" si="8"/>
        <v>3490</v>
      </c>
      <c r="F36" s="57"/>
      <c r="G36" s="58">
        <f t="shared" si="1"/>
        <v>0</v>
      </c>
      <c r="H36" s="55">
        <f t="shared" si="7"/>
        <v>0</v>
      </c>
    </row>
    <row r="37" spans="1:11" ht="30" customHeight="1" x14ac:dyDescent="0.3">
      <c r="A37" s="74" t="str">
        <f>HYPERLINK("https://www.crowdgames.ru/collection/kemet-krov-i-pesok", "Кемет. Кровь и песок")</f>
        <v>Кемет. Кровь и песок</v>
      </c>
      <c r="B37" s="51">
        <v>16261</v>
      </c>
      <c r="C37" s="78" t="s">
        <v>42</v>
      </c>
      <c r="D37" s="52">
        <v>9990</v>
      </c>
      <c r="E37" s="53">
        <f t="shared" si="8"/>
        <v>9990</v>
      </c>
      <c r="F37" s="57"/>
      <c r="G37" s="58">
        <f t="shared" si="1"/>
        <v>0</v>
      </c>
      <c r="H37" s="55">
        <f t="shared" si="7"/>
        <v>0</v>
      </c>
    </row>
    <row r="38" spans="1:11" ht="30" customHeight="1" x14ac:dyDescent="0.3">
      <c r="A38" s="74" t="str">
        <f>HYPERLINK("https://www.crowdgames.ru/collection/klubochki", "Клубочки")</f>
        <v>Клубочки</v>
      </c>
      <c r="B38" s="51">
        <v>16319</v>
      </c>
      <c r="C38" s="78" t="s">
        <v>42</v>
      </c>
      <c r="D38" s="52">
        <v>3290</v>
      </c>
      <c r="E38" s="53">
        <f t="shared" si="8"/>
        <v>3290</v>
      </c>
      <c r="F38" s="57"/>
      <c r="G38" s="58">
        <f t="shared" si="1"/>
        <v>0</v>
      </c>
      <c r="H38" s="55">
        <f t="shared" si="7"/>
        <v>0</v>
      </c>
    </row>
    <row r="39" spans="1:11" ht="30" customHeight="1" x14ac:dyDescent="0.3">
      <c r="A39" s="74" t="str">
        <f>HYPERLINK("https://www.crowdgames.ru/collection/korni", "Корни")</f>
        <v>Корни</v>
      </c>
      <c r="B39" s="51">
        <v>16087</v>
      </c>
      <c r="C39" s="78" t="s">
        <v>42</v>
      </c>
      <c r="D39" s="52">
        <v>4990</v>
      </c>
      <c r="E39" s="53">
        <f t="shared" si="8"/>
        <v>4990</v>
      </c>
      <c r="F39" s="57"/>
      <c r="G39" s="58">
        <f t="shared" si="1"/>
        <v>0</v>
      </c>
      <c r="H39" s="55">
        <f t="shared" si="7"/>
        <v>0</v>
      </c>
    </row>
    <row r="40" spans="1:11" ht="30" customHeight="1" x14ac:dyDescent="0.3">
      <c r="A40" s="74" t="str">
        <f>HYPERLINK("https://www.crowdgames.ru/collection/korni-marodyory", "Корни. Мародёры")</f>
        <v>Корни. Мародёры</v>
      </c>
      <c r="B40" s="51">
        <v>16223</v>
      </c>
      <c r="C40" s="78" t="s">
        <v>42</v>
      </c>
      <c r="D40" s="52">
        <v>4490</v>
      </c>
      <c r="E40" s="53">
        <f t="shared" si="8"/>
        <v>4490</v>
      </c>
      <c r="F40" s="57"/>
      <c r="G40" s="58">
        <f t="shared" ref="G40:G75" si="9">D40*F40</f>
        <v>0</v>
      </c>
      <c r="H40" s="55">
        <f t="shared" ref="H40:H75" si="10">F40*E40</f>
        <v>0</v>
      </c>
      <c r="I40" s="10"/>
    </row>
    <row r="41" spans="1:11" s="10" customFormat="1" ht="30" customHeight="1" x14ac:dyDescent="0.3">
      <c r="A41" s="74" t="str">
        <f>HYPERLINK("https://www.crowdgames.ru/collection/korni-mehanizmy", "Корни. Механизмы")</f>
        <v>Корни. Механизмы</v>
      </c>
      <c r="B41" s="51">
        <v>16141</v>
      </c>
      <c r="C41" s="78" t="s">
        <v>42</v>
      </c>
      <c r="D41" s="52">
        <v>2090</v>
      </c>
      <c r="E41" s="53">
        <f t="shared" si="8"/>
        <v>2090</v>
      </c>
      <c r="F41" s="57"/>
      <c r="G41" s="58">
        <f t="shared" si="9"/>
        <v>0</v>
      </c>
      <c r="H41" s="55">
        <f t="shared" si="10"/>
        <v>0</v>
      </c>
      <c r="I41" s="2"/>
    </row>
    <row r="42" spans="1:11" ht="30" customHeight="1" x14ac:dyDescent="0.3">
      <c r="A42" s="74" t="str">
        <f>HYPERLINK("https://www.crowdgames.ru/collection/korni-mehanizmy-2", "Корни. Механизмы 2")</f>
        <v>Корни. Механизмы 2</v>
      </c>
      <c r="B42" s="51">
        <v>16227</v>
      </c>
      <c r="C42" s="78" t="s">
        <v>42</v>
      </c>
      <c r="D42" s="52">
        <v>2590</v>
      </c>
      <c r="E42" s="53">
        <f t="shared" si="8"/>
        <v>2590</v>
      </c>
      <c r="F42" s="57"/>
      <c r="G42" s="58">
        <f t="shared" si="9"/>
        <v>0</v>
      </c>
      <c r="H42" s="55">
        <f t="shared" si="10"/>
        <v>0</v>
      </c>
    </row>
    <row r="43" spans="1:11" ht="30" customHeight="1" x14ac:dyDescent="0.3">
      <c r="A43" s="74" t="str">
        <f>HYPERLINK("https://www.crowdgames.ru/collection/korni-nabor-brodyag", "Корни. Набор Бродяг")</f>
        <v>Корни. Набор Бродяг</v>
      </c>
      <c r="B43" s="51">
        <v>16139</v>
      </c>
      <c r="C43" s="78" t="s">
        <v>42</v>
      </c>
      <c r="D43" s="52">
        <v>1090</v>
      </c>
      <c r="E43" s="53">
        <f t="shared" si="8"/>
        <v>1090</v>
      </c>
      <c r="F43" s="57"/>
      <c r="G43" s="58">
        <f t="shared" si="9"/>
        <v>0</v>
      </c>
      <c r="H43" s="55">
        <f t="shared" si="10"/>
        <v>0</v>
      </c>
    </row>
    <row r="44" spans="1:11" ht="30" customHeight="1" x14ac:dyDescent="0.3">
      <c r="A44" s="74" t="str">
        <f>HYPERLINK("https://www.crowdgames.ru/collection/korni", "Корни. Набор достопримечательностей")</f>
        <v>Корни. Набор достопримечательностей</v>
      </c>
      <c r="B44" s="51">
        <v>16228</v>
      </c>
      <c r="C44" s="78" t="s">
        <v>42</v>
      </c>
      <c r="D44" s="52">
        <v>1090</v>
      </c>
      <c r="E44" s="53">
        <f t="shared" si="8"/>
        <v>1090</v>
      </c>
      <c r="F44" s="57"/>
      <c r="G44" s="58">
        <f t="shared" si="9"/>
        <v>0</v>
      </c>
      <c r="H44" s="55">
        <f t="shared" si="10"/>
        <v>0</v>
      </c>
    </row>
    <row r="45" spans="1:11" ht="30" customHeight="1" x14ac:dyDescent="0.3">
      <c r="A45" s="74" t="str">
        <f>HYPERLINK("https://www.crowdgames.ru/collection/korni-podzemnye-rekruty", "Корни. Подземные рекруты")</f>
        <v>Корни. Подземные рекруты</v>
      </c>
      <c r="B45" s="51">
        <v>16225</v>
      </c>
      <c r="C45" s="78" t="s">
        <v>42</v>
      </c>
      <c r="D45" s="52">
        <v>1690</v>
      </c>
      <c r="E45" s="53">
        <f t="shared" si="8"/>
        <v>1690</v>
      </c>
      <c r="F45" s="57"/>
      <c r="G45" s="58">
        <f t="shared" si="9"/>
        <v>0</v>
      </c>
      <c r="H45" s="55">
        <f t="shared" si="10"/>
        <v>0</v>
      </c>
    </row>
    <row r="46" spans="1:11" ht="30" customHeight="1" x14ac:dyDescent="0.3">
      <c r="A46" s="74" t="str">
        <f>HYPERLINK("https://www.crowdgames.ru/collection/korni-podzemnyi-mir", "Корни. Подземный мир")</f>
        <v>Корни. Подземный мир</v>
      </c>
      <c r="B46" s="51">
        <v>16120</v>
      </c>
      <c r="C46" s="78" t="s">
        <v>42</v>
      </c>
      <c r="D46" s="52">
        <v>4490</v>
      </c>
      <c r="E46" s="53">
        <f t="shared" si="8"/>
        <v>4490</v>
      </c>
      <c r="F46" s="57"/>
      <c r="G46" s="58">
        <f t="shared" si="9"/>
        <v>0</v>
      </c>
      <c r="H46" s="55">
        <f t="shared" si="10"/>
        <v>0</v>
      </c>
    </row>
    <row r="47" spans="1:11" ht="30" customHeight="1" x14ac:dyDescent="0.3">
      <c r="A47" s="74" t="str">
        <f>HYPERLINK("https://www.crowdgames.ru/collection/korni-rekruty-marodyory", "Корни. Рекруты-мародёры")</f>
        <v>Корни. Рекруты-мародёры</v>
      </c>
      <c r="B47" s="51">
        <v>16226</v>
      </c>
      <c r="C47" s="78" t="s">
        <v>42</v>
      </c>
      <c r="D47" s="52">
        <v>2490</v>
      </c>
      <c r="E47" s="53">
        <f t="shared" si="8"/>
        <v>2490</v>
      </c>
      <c r="F47" s="57"/>
      <c r="G47" s="58">
        <f t="shared" si="9"/>
        <v>0</v>
      </c>
      <c r="H47" s="55">
        <f t="shared" si="10"/>
        <v>0</v>
      </c>
    </row>
    <row r="48" spans="1:11" ht="30" customHeight="1" x14ac:dyDescent="0.3">
      <c r="A48" s="74" t="str">
        <f>HYPERLINK("https://www.crowdgames.ru/collection/korni-rechnoe-bratstvo", "Корни. Речное братство")</f>
        <v>Корни. Речное братство</v>
      </c>
      <c r="B48" s="51">
        <v>16102</v>
      </c>
      <c r="C48" s="78" t="s">
        <v>42</v>
      </c>
      <c r="D48" s="52">
        <v>3490</v>
      </c>
      <c r="E48" s="53">
        <f t="shared" si="8"/>
        <v>3490</v>
      </c>
      <c r="F48" s="57"/>
      <c r="G48" s="58">
        <f t="shared" si="9"/>
        <v>0</v>
      </c>
      <c r="H48" s="55">
        <f t="shared" si="10"/>
        <v>0</v>
      </c>
      <c r="J48" s="32"/>
      <c r="K48" s="31"/>
    </row>
    <row r="49" spans="1:11" ht="30" customHeight="1" x14ac:dyDescent="0.3">
      <c r="A49" s="74" t="str">
        <f>HYPERLINK("https://www.crowdgames.ru/collection/korni-rechnye-rekruty", "Корни. Речные рекруты")</f>
        <v>Корни. Речные рекруты</v>
      </c>
      <c r="B49" s="51">
        <v>16224</v>
      </c>
      <c r="C49" s="78" t="s">
        <v>42</v>
      </c>
      <c r="D49" s="52">
        <v>1690</v>
      </c>
      <c r="E49" s="53">
        <f t="shared" si="8"/>
        <v>1690</v>
      </c>
      <c r="F49" s="57"/>
      <c r="G49" s="58">
        <f t="shared" si="9"/>
        <v>0</v>
      </c>
      <c r="H49" s="55">
        <f t="shared" si="10"/>
        <v>0</v>
      </c>
      <c r="J49" s="32"/>
      <c r="K49" s="31"/>
    </row>
    <row r="50" spans="1:11" ht="30" customHeight="1" x14ac:dyDescent="0.3">
      <c r="A50" s="74" t="str">
        <f>HYPERLINK("https://www.crowdgames.ru/collection/an7fgdh340jv0d?theme_preview=9467945", "Кража века)")</f>
        <v>Кража века)</v>
      </c>
      <c r="B50" s="51">
        <v>16448</v>
      </c>
      <c r="C50" s="78" t="s">
        <v>42</v>
      </c>
      <c r="D50" s="52">
        <v>2990</v>
      </c>
      <c r="E50" s="53">
        <f t="shared" si="8"/>
        <v>2990</v>
      </c>
      <c r="F50" s="57"/>
      <c r="G50" s="58">
        <f t="shared" si="9"/>
        <v>0</v>
      </c>
      <c r="H50" s="55">
        <f t="shared" si="10"/>
        <v>0</v>
      </c>
      <c r="J50" s="32"/>
      <c r="K50" s="31"/>
    </row>
    <row r="51" spans="1:11" ht="30" customHeight="1" x14ac:dyDescent="0.3">
      <c r="A51" s="74" t="str">
        <f>HYPERLINK("https://www.crowdgames.ru/collection/krov-i-yarost", "Кровь и Ярость")</f>
        <v>Кровь и Ярость</v>
      </c>
      <c r="B51" s="51">
        <v>16009</v>
      </c>
      <c r="C51" s="78" t="s">
        <v>42</v>
      </c>
      <c r="D51" s="52">
        <v>8990</v>
      </c>
      <c r="E51" s="53">
        <f t="shared" si="8"/>
        <v>8990</v>
      </c>
      <c r="F51" s="57"/>
      <c r="G51" s="58">
        <f t="shared" si="9"/>
        <v>0</v>
      </c>
      <c r="H51" s="55">
        <f t="shared" si="10"/>
        <v>0</v>
      </c>
    </row>
    <row r="52" spans="1:11" ht="30" customHeight="1" x14ac:dyDescent="0.3">
      <c r="A52" s="74" t="str">
        <f>HYPERLINK("https://www.crowdgames.ru/collection/krov-i-yarost-bogi-asgarda", "Кровь и Ярость. Боги Асгарда")</f>
        <v>Кровь и Ярость. Боги Асгарда</v>
      </c>
      <c r="B52" s="51">
        <v>16027</v>
      </c>
      <c r="C52" s="78" t="s">
        <v>42</v>
      </c>
      <c r="D52" s="52">
        <v>2090</v>
      </c>
      <c r="E52" s="53">
        <f t="shared" si="8"/>
        <v>2090</v>
      </c>
      <c r="F52" s="57"/>
      <c r="G52" s="58">
        <f t="shared" si="9"/>
        <v>0</v>
      </c>
      <c r="H52" s="55">
        <f t="shared" si="10"/>
        <v>0</v>
      </c>
    </row>
    <row r="53" spans="1:11" ht="30" customHeight="1" x14ac:dyDescent="0.3">
      <c r="A53" s="74" t="str">
        <f>HYPERLINK("https://www.crowdgames.ru/collection/kolduny-midgarda", "Кровь и Ярость. Колдуны Мидгарда")</f>
        <v>Кровь и Ярость. Колдуны Мидгарда</v>
      </c>
      <c r="B53" s="51">
        <v>16028</v>
      </c>
      <c r="C53" s="78" t="s">
        <v>42</v>
      </c>
      <c r="D53" s="52">
        <v>2690</v>
      </c>
      <c r="E53" s="53">
        <f t="shared" si="8"/>
        <v>2690</v>
      </c>
      <c r="F53" s="57"/>
      <c r="G53" s="58">
        <f t="shared" si="9"/>
        <v>0</v>
      </c>
      <c r="H53" s="55">
        <f t="shared" si="10"/>
        <v>0</v>
      </c>
    </row>
    <row r="54" spans="1:11" ht="30" customHeight="1" x14ac:dyDescent="0.3">
      <c r="A54" s="74" t="str">
        <f>HYPERLINK("https://www.crowdgames.ru/collection/la-granha-deluxe", "Ла-Гранха. Коллекционное издание")</f>
        <v>Ла-Гранха. Коллекционное издание</v>
      </c>
      <c r="B54" s="51">
        <v>16444</v>
      </c>
      <c r="C54" s="78" t="s">
        <v>42</v>
      </c>
      <c r="D54" s="52">
        <v>9990</v>
      </c>
      <c r="E54" s="53">
        <f t="shared" si="8"/>
        <v>9990</v>
      </c>
      <c r="F54" s="57"/>
      <c r="G54" s="58">
        <f t="shared" si="9"/>
        <v>0</v>
      </c>
      <c r="H54" s="55">
        <f t="shared" si="10"/>
        <v>0</v>
      </c>
      <c r="J54" s="27"/>
      <c r="K54" s="27"/>
    </row>
    <row r="55" spans="1:11" ht="30" customHeight="1" x14ac:dyDescent="0.3">
      <c r="A55" s="74" t="str">
        <f>HYPERLINK("https://www.crowdgames.ru/collection/malenkaya-kaskadiya", "Маленькая Каскадия")</f>
        <v>Маленькая Каскадия</v>
      </c>
      <c r="B55" s="51">
        <v>16301</v>
      </c>
      <c r="C55" s="78" t="s">
        <v>42</v>
      </c>
      <c r="D55" s="52">
        <v>3290</v>
      </c>
      <c r="E55" s="53">
        <f t="shared" si="8"/>
        <v>3290</v>
      </c>
      <c r="F55" s="61"/>
      <c r="G55" s="55">
        <f t="shared" si="9"/>
        <v>0</v>
      </c>
      <c r="H55" s="55">
        <f t="shared" si="10"/>
        <v>0</v>
      </c>
      <c r="J55" s="27"/>
      <c r="K55" s="27"/>
    </row>
    <row r="56" spans="1:11" ht="30" customHeight="1" x14ac:dyDescent="0.3">
      <c r="A56" s="74" t="str">
        <f>HYPERLINK("https://www.crowdgames.ru/collection/marshrut-postroen", "Маршрут построен")</f>
        <v>Маршрут построен</v>
      </c>
      <c r="B56" s="51">
        <v>16247</v>
      </c>
      <c r="C56" s="78" t="s">
        <v>42</v>
      </c>
      <c r="D56" s="52">
        <v>3490</v>
      </c>
      <c r="E56" s="53">
        <f t="shared" si="8"/>
        <v>3490</v>
      </c>
      <c r="F56" s="57"/>
      <c r="G56" s="58">
        <f t="shared" si="9"/>
        <v>0</v>
      </c>
      <c r="H56" s="55">
        <f t="shared" si="10"/>
        <v>0</v>
      </c>
      <c r="J56" s="27"/>
      <c r="K56" s="27"/>
    </row>
    <row r="57" spans="1:11" ht="30" customHeight="1" x14ac:dyDescent="0.3">
      <c r="A57" s="74" t="str">
        <f>HYPERLINK("https://www.crowdgames.ru/collection/flamecraft", "Мастера пламени")</f>
        <v>Мастера пламени</v>
      </c>
      <c r="B57" s="51">
        <v>16179</v>
      </c>
      <c r="C57" s="78" t="s">
        <v>42</v>
      </c>
      <c r="D57" s="52">
        <v>4250</v>
      </c>
      <c r="E57" s="53">
        <f t="shared" si="8"/>
        <v>4250</v>
      </c>
      <c r="F57" s="57"/>
      <c r="G57" s="58">
        <f t="shared" si="9"/>
        <v>0</v>
      </c>
      <c r="H57" s="55">
        <f t="shared" si="10"/>
        <v>0</v>
      </c>
      <c r="J57" s="27"/>
      <c r="K57" s="27"/>
    </row>
    <row r="58" spans="1:11" ht="30" customHeight="1" x14ac:dyDescent="0.3">
      <c r="A58" s="74" t="str">
        <f>HYPERLINK("https://www.crowdgames.ru/collection/machina-arcana-russkoe-izdanie", "Машина Аркана. Русское издание (Machina Arcana)")</f>
        <v>Машина Аркана. Русское издание (Machina Arcana)</v>
      </c>
      <c r="B58" s="51">
        <v>16236</v>
      </c>
      <c r="C58" s="78" t="s">
        <v>42</v>
      </c>
      <c r="D58" s="52">
        <v>8490</v>
      </c>
      <c r="E58" s="53">
        <f t="shared" si="8"/>
        <v>8490</v>
      </c>
      <c r="F58" s="57"/>
      <c r="G58" s="58">
        <f t="shared" si="9"/>
        <v>0</v>
      </c>
      <c r="H58" s="55">
        <f t="shared" si="10"/>
        <v>0</v>
      </c>
      <c r="J58" s="27"/>
      <c r="K58" s="27"/>
    </row>
    <row r="59" spans="1:11" ht="30" customHeight="1" x14ac:dyDescent="0.3">
      <c r="A59" s="74" t="str">
        <f>HYPERLINK("https://www.crowdgames.ru/collection/melnitsa-milye-tayny", "Мельница. Милые тайны")</f>
        <v>Мельница. Милые тайны</v>
      </c>
      <c r="B59" s="51">
        <v>16161</v>
      </c>
      <c r="C59" s="78" t="s">
        <v>42</v>
      </c>
      <c r="D59" s="52">
        <v>750</v>
      </c>
      <c r="E59" s="53">
        <f t="shared" si="8"/>
        <v>750</v>
      </c>
      <c r="F59" s="57"/>
      <c r="G59" s="58">
        <f t="shared" si="9"/>
        <v>0</v>
      </c>
      <c r="H59" s="55">
        <f t="shared" si="10"/>
        <v>0</v>
      </c>
      <c r="J59" s="27"/>
      <c r="K59" s="27"/>
    </row>
    <row r="60" spans="1:11" ht="30" customHeight="1" x14ac:dyDescent="0.3">
      <c r="A60" s="74" t="str">
        <f>HYPERLINK("https://www.crowdgames.ru/collection/moy-motiv-ubiystva", "Мой мотив убийства. Труп Обезьяны")</f>
        <v>Мой мотив убийства. Труп Обезьяны</v>
      </c>
      <c r="B60" s="51">
        <v>16465</v>
      </c>
      <c r="C60" s="78" t="s">
        <v>42</v>
      </c>
      <c r="D60" s="52">
        <v>1490</v>
      </c>
      <c r="E60" s="53">
        <f>D60*(1-$D$183)</f>
        <v>1490</v>
      </c>
      <c r="F60" s="57"/>
      <c r="G60" s="58">
        <f t="shared" si="9"/>
        <v>0</v>
      </c>
      <c r="H60" s="55">
        <f t="shared" si="10"/>
        <v>0</v>
      </c>
      <c r="J60" s="27"/>
      <c r="K60" s="27"/>
    </row>
    <row r="61" spans="1:11" ht="30" customHeight="1" x14ac:dyDescent="0.3">
      <c r="A61" s="74" t="str">
        <f>HYPERLINK("https://www.crowdgames.ru/collection/morskoy-patrul", "Морской патруль")</f>
        <v>Морской патруль</v>
      </c>
      <c r="B61" s="51">
        <v>16199</v>
      </c>
      <c r="C61" s="78" t="s">
        <v>42</v>
      </c>
      <c r="D61" s="52">
        <v>2090</v>
      </c>
      <c r="E61" s="53">
        <f t="shared" si="8"/>
        <v>2090</v>
      </c>
      <c r="F61" s="57"/>
      <c r="G61" s="58">
        <f t="shared" si="9"/>
        <v>0</v>
      </c>
      <c r="H61" s="55">
        <f t="shared" si="10"/>
        <v>0</v>
      </c>
      <c r="J61" s="27"/>
      <c r="K61" s="27"/>
    </row>
    <row r="62" spans="1:11" ht="30" customHeight="1" x14ac:dyDescent="0.3">
      <c r="A62" s="74" t="str">
        <f>HYPERLINK("https://www.crowdgames.ru/collection/morskoy-patrul", "Морской патруль. Корабли и берега")</f>
        <v>Морской патруль. Корабли и берега</v>
      </c>
      <c r="B62" s="51">
        <v>16321</v>
      </c>
      <c r="C62" s="78" t="s">
        <v>42</v>
      </c>
      <c r="D62" s="52">
        <v>1300</v>
      </c>
      <c r="E62" s="53">
        <f t="shared" si="8"/>
        <v>1300</v>
      </c>
      <c r="F62" s="57"/>
      <c r="G62" s="58">
        <f t="shared" si="9"/>
        <v>0</v>
      </c>
      <c r="H62" s="55">
        <f t="shared" si="10"/>
        <v>0</v>
      </c>
      <c r="J62" s="30"/>
      <c r="K62" s="31"/>
    </row>
    <row r="63" spans="1:11" ht="30" customHeight="1" x14ac:dyDescent="0.3">
      <c r="A63" s="74" t="str">
        <f>HYPERLINK("https://www.crowdgames.ru/collection/neizvestnaya-planeta", "Неизвестная планета")</f>
        <v>Неизвестная планета</v>
      </c>
      <c r="B63" s="51">
        <v>16151</v>
      </c>
      <c r="C63" s="78" t="s">
        <v>42</v>
      </c>
      <c r="D63" s="52">
        <v>8490</v>
      </c>
      <c r="E63" s="53">
        <f t="shared" si="8"/>
        <v>8490</v>
      </c>
      <c r="F63" s="57"/>
      <c r="G63" s="58">
        <f t="shared" si="9"/>
        <v>0</v>
      </c>
      <c r="H63" s="55">
        <f t="shared" si="10"/>
        <v>0</v>
      </c>
      <c r="J63" s="30"/>
      <c r="K63" s="31"/>
    </row>
    <row r="64" spans="1:11" ht="30" customHeight="1" x14ac:dyDescent="0.3">
      <c r="A64" s="74" t="str">
        <f>HYPERLINK("https://www.crowdgames.ru/collection/neizvestnaya-planeta-superlunie", "Неизвестная планета. Суперлуние")</f>
        <v>Неизвестная планета. Суперлуние</v>
      </c>
      <c r="B64" s="51">
        <v>16257</v>
      </c>
      <c r="C64" s="78" t="s">
        <v>42</v>
      </c>
      <c r="D64" s="52">
        <v>4290</v>
      </c>
      <c r="E64" s="53">
        <f t="shared" si="8"/>
        <v>4290</v>
      </c>
      <c r="F64" s="57"/>
      <c r="G64" s="58">
        <f t="shared" si="9"/>
        <v>0</v>
      </c>
      <c r="H64" s="55">
        <f t="shared" si="10"/>
        <v>0</v>
      </c>
      <c r="J64" s="27"/>
      <c r="K64" s="27"/>
    </row>
    <row r="65" spans="1:11" ht="30" customHeight="1" x14ac:dyDescent="0.3">
      <c r="A65" s="74" t="str">
        <f>HYPERLINK("https://www.crowdgames.ru/collection/nippon-zaibatsu", "Ниппон. Дзайбацу")</f>
        <v>Ниппон. Дзайбацу</v>
      </c>
      <c r="B65" s="51">
        <v>16435</v>
      </c>
      <c r="C65" s="78" t="s">
        <v>42</v>
      </c>
      <c r="D65" s="52">
        <v>7990</v>
      </c>
      <c r="E65" s="53">
        <f t="shared" si="8"/>
        <v>7990</v>
      </c>
      <c r="F65" s="57"/>
      <c r="G65" s="58">
        <f t="shared" si="9"/>
        <v>0</v>
      </c>
      <c r="H65" s="55">
        <f t="shared" si="10"/>
        <v>0</v>
      </c>
      <c r="J65" s="29"/>
      <c r="K65" s="29"/>
    </row>
    <row r="66" spans="1:11" ht="30" customHeight="1" x14ac:dyDescent="0.3">
      <c r="A66" s="74" t="str">
        <f>HYPERLINK("https://www.crowdgames.ru/collection/obet","Обет")</f>
        <v>Обет</v>
      </c>
      <c r="B66" s="51">
        <v>16181</v>
      </c>
      <c r="C66" s="78" t="s">
        <v>42</v>
      </c>
      <c r="D66" s="52">
        <v>9900</v>
      </c>
      <c r="E66" s="53">
        <f t="shared" si="8"/>
        <v>9900</v>
      </c>
      <c r="F66" s="59"/>
      <c r="G66" s="60">
        <f t="shared" si="9"/>
        <v>0</v>
      </c>
      <c r="H66" s="55">
        <f t="shared" si="10"/>
        <v>0</v>
      </c>
      <c r="J66" s="27"/>
      <c r="K66" s="27"/>
    </row>
    <row r="67" spans="1:11" ht="30" customHeight="1" x14ac:dyDescent="0.3">
      <c r="A67" s="74" t="str">
        <f>HYPERLINK("https://www.crowdgames.ru/collection/opustoshenie", "Опустошение")</f>
        <v>Опустошение</v>
      </c>
      <c r="B67" s="51">
        <v>16213</v>
      </c>
      <c r="C67" s="78" t="s">
        <v>42</v>
      </c>
      <c r="D67" s="52">
        <v>11990</v>
      </c>
      <c r="E67" s="53">
        <f t="shared" si="8"/>
        <v>11990</v>
      </c>
      <c r="F67" s="57"/>
      <c r="G67" s="58">
        <f t="shared" si="9"/>
        <v>0</v>
      </c>
      <c r="H67" s="55">
        <f t="shared" si="10"/>
        <v>0</v>
      </c>
      <c r="J67" s="27"/>
      <c r="K67" s="27"/>
    </row>
    <row r="68" spans="1:11" ht="30" customHeight="1" x14ac:dyDescent="0.3">
      <c r="A68" s="74" t="str">
        <f>HYPERLINK("https://www.crowdgames.ru/collection/oskvernyonnyy-graal-krasnaya-smert","Осквернённый Грааль. Красная cмерть")</f>
        <v>Осквернённый Грааль. Красная cмерть</v>
      </c>
      <c r="B68" s="51">
        <v>16158</v>
      </c>
      <c r="C68" s="78" t="s">
        <v>42</v>
      </c>
      <c r="D68" s="52">
        <v>7250</v>
      </c>
      <c r="E68" s="53">
        <f t="shared" si="8"/>
        <v>7250</v>
      </c>
      <c r="F68" s="62"/>
      <c r="G68" s="56">
        <f t="shared" si="9"/>
        <v>0</v>
      </c>
      <c r="H68" s="55">
        <f t="shared" si="10"/>
        <v>0</v>
      </c>
      <c r="J68" s="27"/>
      <c r="K68" s="27"/>
    </row>
    <row r="69" spans="1:11" ht="30" customHeight="1" x14ac:dyDescent="0.3">
      <c r="A69" s="74" t="str">
        <f>HYPERLINK("https://www.crowdgames.ru/collection/oskvernyonnyy-graal-epoha-legend-poslednyi-ryczar","Осквернённый Грааль. Кампании «Эпоха легенд» и «Последний рыцарь»")</f>
        <v>Осквернённый Грааль. Кампании «Эпоха легенд» и «Последний рыцарь»</v>
      </c>
      <c r="B69" s="51">
        <v>16143</v>
      </c>
      <c r="C69" s="78" t="s">
        <v>42</v>
      </c>
      <c r="D69" s="52">
        <v>11490</v>
      </c>
      <c r="E69" s="53">
        <f t="shared" ref="E69:E100" si="11">D69*(1-$D$183)</f>
        <v>11490</v>
      </c>
      <c r="F69" s="62"/>
      <c r="G69" s="56">
        <f t="shared" si="9"/>
        <v>0</v>
      </c>
      <c r="H69" s="55">
        <f t="shared" si="10"/>
        <v>0</v>
      </c>
      <c r="J69" s="27"/>
      <c r="K69" s="27"/>
    </row>
    <row r="70" spans="1:11" ht="30" hidden="1" customHeight="1" x14ac:dyDescent="0.3">
      <c r="A70" s="74" t="str">
        <f>HYPERLINK("https://www.crowdgames.ru/collection/aftermath","Отголоски")</f>
        <v>Отголоски</v>
      </c>
      <c r="B70" s="51">
        <v>16318</v>
      </c>
      <c r="C70" s="78" t="s">
        <v>44</v>
      </c>
      <c r="D70" s="52">
        <v>1890</v>
      </c>
      <c r="E70" s="53">
        <f t="shared" si="11"/>
        <v>1890</v>
      </c>
      <c r="F70" s="63"/>
      <c r="G70" s="56">
        <f t="shared" si="9"/>
        <v>0</v>
      </c>
      <c r="H70" s="55">
        <f t="shared" si="10"/>
        <v>0</v>
      </c>
      <c r="J70" s="27"/>
      <c r="K70" s="27"/>
    </row>
    <row r="71" spans="1:11" ht="30" customHeight="1" x14ac:dyDescent="0.3">
      <c r="A71" s="74" t="str">
        <f>HYPERLINK("https://www.crowdgames.ru/collection/aftermath","Отголоски»")</f>
        <v>Отголоски»</v>
      </c>
      <c r="B71" s="51">
        <v>16119</v>
      </c>
      <c r="C71" s="78" t="s">
        <v>42</v>
      </c>
      <c r="D71" s="52">
        <v>6990</v>
      </c>
      <c r="E71" s="53">
        <f t="shared" si="11"/>
        <v>6990</v>
      </c>
      <c r="F71" s="63"/>
      <c r="G71" s="56">
        <f t="shared" si="9"/>
        <v>0</v>
      </c>
      <c r="H71" s="55">
        <f t="shared" ref="H71" si="12">F71*E71</f>
        <v>0</v>
      </c>
      <c r="K71" s="27"/>
    </row>
    <row r="72" spans="1:11" ht="30" customHeight="1" x14ac:dyDescent="0.3">
      <c r="A72" s="74" t="str">
        <f>HYPERLINK("https://www.crowdgames.ru/collection/pariaschii-gorod","Парящий город")</f>
        <v>Парящий город</v>
      </c>
      <c r="B72" s="51">
        <v>16283</v>
      </c>
      <c r="C72" s="78" t="s">
        <v>42</v>
      </c>
      <c r="D72" s="52">
        <v>10490</v>
      </c>
      <c r="E72" s="53">
        <f t="shared" si="11"/>
        <v>10490</v>
      </c>
      <c r="F72" s="63"/>
      <c r="G72" s="56">
        <f t="shared" si="9"/>
        <v>0</v>
      </c>
      <c r="H72" s="55">
        <f t="shared" si="10"/>
        <v>0</v>
      </c>
      <c r="K72" s="27"/>
    </row>
    <row r="73" spans="1:11" ht="30" customHeight="1" x14ac:dyDescent="0.3">
      <c r="A73" s="74" t="str">
        <f>HYPERLINK("https://www.crowdgames.ru/collection/pax-hispanica-russkoe-izdanie","Pax Hispanica. Русское издание")</f>
        <v>Pax Hispanica. Русское издание</v>
      </c>
      <c r="B73" s="51">
        <v>16248</v>
      </c>
      <c r="C73" s="78" t="s">
        <v>42</v>
      </c>
      <c r="D73" s="52">
        <v>9490</v>
      </c>
      <c r="E73" s="53">
        <f t="shared" si="11"/>
        <v>9490</v>
      </c>
      <c r="F73" s="57"/>
      <c r="G73" s="58">
        <f t="shared" si="9"/>
        <v>0</v>
      </c>
      <c r="H73" s="55">
        <f t="shared" si="10"/>
        <v>0</v>
      </c>
      <c r="J73" s="27"/>
      <c r="K73" s="27"/>
    </row>
    <row r="74" spans="1:11" ht="30" customHeight="1" x14ac:dyDescent="0.3">
      <c r="A74" s="74" t="str">
        <f>HYPERLINK("https://www.crowdgames.ru/collection/pax-illuminaten-russkoe-izdanie","Pax Illuminaten. Русское издание")</f>
        <v>Pax Illuminaten. Русское издание</v>
      </c>
      <c r="B74" s="51">
        <v>16246</v>
      </c>
      <c r="C74" s="78" t="s">
        <v>42</v>
      </c>
      <c r="D74" s="52">
        <v>5790</v>
      </c>
      <c r="E74" s="53">
        <f t="shared" si="11"/>
        <v>5790</v>
      </c>
      <c r="F74" s="54"/>
      <c r="G74" s="52">
        <f t="shared" si="9"/>
        <v>0</v>
      </c>
      <c r="H74" s="55">
        <f t="shared" si="10"/>
        <v>0</v>
      </c>
      <c r="J74" s="32"/>
      <c r="K74" s="31"/>
    </row>
    <row r="75" spans="1:11" ht="30" customHeight="1" x14ac:dyDescent="0.3">
      <c r="A75" s="74" t="str">
        <f>HYPERLINK("https://www.crowdgames.ru/collection/pax-illuminaten-russkoe-izdanie", "Плеймат для игры «Pax Illuminaten. Русское издание»")</f>
        <v>Плеймат для игры «Pax Illuminaten. Русское издание»</v>
      </c>
      <c r="B75" s="51" t="s">
        <v>13</v>
      </c>
      <c r="C75" s="78" t="s">
        <v>42</v>
      </c>
      <c r="D75" s="52">
        <v>3690</v>
      </c>
      <c r="E75" s="53">
        <f t="shared" si="11"/>
        <v>3690</v>
      </c>
      <c r="F75" s="54"/>
      <c r="G75" s="52">
        <f t="shared" si="9"/>
        <v>0</v>
      </c>
      <c r="H75" s="55">
        <f t="shared" si="10"/>
        <v>0</v>
      </c>
      <c r="J75" s="32"/>
      <c r="K75" s="31"/>
    </row>
    <row r="76" spans="1:11" ht="30" customHeight="1" x14ac:dyDescent="0.3">
      <c r="A76" s="74" t="str">
        <f>HYPERLINK("https://www.crowdgames.ru/collection/plotina", "Плотина")</f>
        <v>Плотина</v>
      </c>
      <c r="B76" s="51">
        <v>16112</v>
      </c>
      <c r="C76" s="78" t="s">
        <v>42</v>
      </c>
      <c r="D76" s="52">
        <v>7290</v>
      </c>
      <c r="E76" s="53">
        <f t="shared" si="11"/>
        <v>7290</v>
      </c>
      <c r="F76" s="57"/>
      <c r="G76" s="58">
        <f t="shared" ref="G76:G109" si="13">D76*F76</f>
        <v>0</v>
      </c>
      <c r="H76" s="55">
        <f t="shared" ref="H76:H109" si="14">F76*E76</f>
        <v>0</v>
      </c>
      <c r="J76" s="27"/>
      <c r="K76" s="27"/>
    </row>
    <row r="77" spans="1:11" ht="30" customHeight="1" x14ac:dyDescent="0.3">
      <c r="A77" s="74" t="str">
        <f>HYPERLINK("https://www.crowdgames.ru/collection/plotina-zamorskie-kompanii", "Плотина. Заморские компании (Дополнение)")</f>
        <v>Плотина. Заморские компании (Дополнение)</v>
      </c>
      <c r="B77" s="51">
        <v>16446</v>
      </c>
      <c r="C77" s="78" t="s">
        <v>42</v>
      </c>
      <c r="D77" s="52">
        <v>3490</v>
      </c>
      <c r="E77" s="53">
        <f t="shared" si="11"/>
        <v>3490</v>
      </c>
      <c r="F77" s="57"/>
      <c r="G77" s="58">
        <f t="shared" si="13"/>
        <v>0</v>
      </c>
      <c r="H77" s="55">
        <f t="shared" si="14"/>
        <v>0</v>
      </c>
      <c r="J77" s="27"/>
      <c r="K77" s="27"/>
    </row>
    <row r="78" spans="1:11" ht="30" customHeight="1" x14ac:dyDescent="0.3">
      <c r="A78" s="74" t="str">
        <f>HYPERLINK("https://www.crowdgames.ru/collection/plotina-nil", "Плотина. Нил")</f>
        <v>Плотина. Нил</v>
      </c>
      <c r="B78" s="51">
        <v>16122</v>
      </c>
      <c r="C78" s="78" t="s">
        <v>42</v>
      </c>
      <c r="D78" s="52">
        <v>1690</v>
      </c>
      <c r="E78" s="53">
        <f t="shared" si="11"/>
        <v>1690</v>
      </c>
      <c r="F78" s="57"/>
      <c r="G78" s="58"/>
      <c r="H78" s="55">
        <f t="shared" si="14"/>
        <v>0</v>
      </c>
      <c r="J78" s="27"/>
      <c r="K78" s="27"/>
    </row>
    <row r="79" spans="1:11" ht="30" customHeight="1" x14ac:dyDescent="0.3">
      <c r="A79" s="74" t="str">
        <f>HYPERLINK("https://www.crowdgames.ru/collection/plotina-novye-zemli", "Плотина. Новые земли. Мосты Колорадо")</f>
        <v>Плотина. Новые земли. Мосты Колорадо</v>
      </c>
      <c r="B79" s="51">
        <v>16245</v>
      </c>
      <c r="C79" s="78" t="s">
        <v>42</v>
      </c>
      <c r="D79" s="52">
        <v>1690</v>
      </c>
      <c r="E79" s="53">
        <f t="shared" si="11"/>
        <v>1690</v>
      </c>
      <c r="F79" s="61"/>
      <c r="G79" s="55">
        <f t="shared" si="13"/>
        <v>0</v>
      </c>
      <c r="H79" s="55">
        <f t="shared" si="14"/>
        <v>0</v>
      </c>
      <c r="J79" s="27"/>
      <c r="K79" s="27"/>
    </row>
    <row r="80" spans="1:11" ht="30" customHeight="1" x14ac:dyDescent="0.3">
      <c r="A80" s="74" t="str">
        <f>HYPERLINK("https://www.crowdgames.ru/collection/barrage-leeghwater-project", "Плотина. Проект «Легватер»")</f>
        <v>Плотина. Проект «Легватер»</v>
      </c>
      <c r="B80" s="51">
        <v>16113</v>
      </c>
      <c r="C80" s="78" t="s">
        <v>42</v>
      </c>
      <c r="D80" s="52">
        <v>3090</v>
      </c>
      <c r="E80" s="53">
        <f t="shared" si="11"/>
        <v>3090</v>
      </c>
      <c r="F80" s="57"/>
      <c r="G80" s="58">
        <f t="shared" si="13"/>
        <v>0</v>
      </c>
      <c r="H80" s="55">
        <f t="shared" si="14"/>
        <v>0</v>
      </c>
      <c r="J80" s="27"/>
      <c r="K80" s="27"/>
    </row>
    <row r="81" spans="1:11" ht="30" customHeight="1" x14ac:dyDescent="0.3">
      <c r="A81" s="74" t="str">
        <f>HYPERLINK("https://www.crowdgames.ru/collection/plotina-pyatyy-igrok", "Плотина. Пятый игрок")</f>
        <v>Плотина. Пятый игрок</v>
      </c>
      <c r="B81" s="51">
        <v>16167</v>
      </c>
      <c r="C81" s="78" t="s">
        <v>42</v>
      </c>
      <c r="D81" s="52">
        <v>3090</v>
      </c>
      <c r="E81" s="53">
        <f t="shared" si="11"/>
        <v>3090</v>
      </c>
      <c r="F81" s="64"/>
      <c r="G81" s="65">
        <f t="shared" si="13"/>
        <v>0</v>
      </c>
      <c r="H81" s="55">
        <f t="shared" si="14"/>
        <v>0</v>
      </c>
      <c r="J81" s="8"/>
    </row>
    <row r="82" spans="1:11" ht="30" hidden="1" customHeight="1" x14ac:dyDescent="0.3">
      <c r="A82" s="74" t="str">
        <f>HYPERLINK("https://www.crowdgames.ru/collection/plyushevye-skazki-oh-bratets", "Плюшевые сказки. Ох, братец! (Дополнение)")</f>
        <v>Плюшевые сказки. Ох, братец! (Дополнение)</v>
      </c>
      <c r="B82" s="51">
        <v>16171</v>
      </c>
      <c r="C82" s="78" t="s">
        <v>44</v>
      </c>
      <c r="D82" s="52">
        <v>3690</v>
      </c>
      <c r="E82" s="53">
        <f t="shared" si="11"/>
        <v>3690</v>
      </c>
      <c r="F82" s="66"/>
      <c r="G82" s="67">
        <f t="shared" si="13"/>
        <v>0</v>
      </c>
      <c r="H82" s="55">
        <f t="shared" si="14"/>
        <v>0</v>
      </c>
      <c r="J82" s="8"/>
    </row>
    <row r="83" spans="1:11" ht="30" customHeight="1" x14ac:dyDescent="0.3">
      <c r="A83" s="74" t="str">
        <f>HYPERLINK("https://www.crowdgames.ru/collection/pobeg-iz-vistara", "Побег из Вистара")</f>
        <v>Побег из Вистара</v>
      </c>
      <c r="B83" s="51">
        <v>16237</v>
      </c>
      <c r="C83" s="78" t="s">
        <v>42</v>
      </c>
      <c r="D83" s="52">
        <v>6050</v>
      </c>
      <c r="E83" s="53">
        <f t="shared" si="11"/>
        <v>6050</v>
      </c>
      <c r="F83" s="68"/>
      <c r="G83" s="69">
        <f t="shared" si="13"/>
        <v>0</v>
      </c>
      <c r="H83" s="55">
        <f t="shared" si="14"/>
        <v>0</v>
      </c>
      <c r="J83" s="8"/>
    </row>
    <row r="84" spans="1:11" ht="30" customHeight="1" x14ac:dyDescent="0.3">
      <c r="A84" s="74" t="str">
        <f>HYPERLINK("https://www.crowdgames.ru/collection/pod-listvoy", "Под листвой")</f>
        <v>Под листвой</v>
      </c>
      <c r="B84" s="51">
        <v>16324</v>
      </c>
      <c r="C84" s="78" t="s">
        <v>42</v>
      </c>
      <c r="D84" s="52">
        <v>2590</v>
      </c>
      <c r="E84" s="53">
        <f t="shared" si="11"/>
        <v>2590</v>
      </c>
      <c r="F84" s="66"/>
      <c r="G84" s="67">
        <f t="shared" si="13"/>
        <v>0</v>
      </c>
      <c r="H84" s="55">
        <f t="shared" si="14"/>
        <v>0</v>
      </c>
      <c r="J84" s="8"/>
    </row>
    <row r="85" spans="1:11" ht="30" customHeight="1" x14ac:dyDescent="0.3">
      <c r="A85" s="74" t="str">
        <f>HYPERLINK("https://www.crowdgames.ru/collection/pokoriteli-kosmosa","Покорители космоса")</f>
        <v>Покорители космоса</v>
      </c>
      <c r="B85" s="51">
        <v>16032</v>
      </c>
      <c r="C85" s="78" t="s">
        <v>42</v>
      </c>
      <c r="D85" s="52">
        <v>1490</v>
      </c>
      <c r="E85" s="53">
        <f t="shared" si="11"/>
        <v>1490</v>
      </c>
      <c r="F85" s="70"/>
      <c r="G85" s="71">
        <f t="shared" si="13"/>
        <v>0</v>
      </c>
      <c r="H85" s="55">
        <f t="shared" si="14"/>
        <v>0</v>
      </c>
      <c r="J85" s="27"/>
      <c r="K85" s="27"/>
    </row>
    <row r="86" spans="1:11" ht="30" customHeight="1" x14ac:dyDescent="0.3">
      <c r="A86" s="74" t="str">
        <f>HYPERLINK("https://www.crowdgames.ru/collection/pokoriteli-kosmosa-novye-gorizonty","Покорители космоса. Новые горизонты")</f>
        <v>Покорители космоса. Новые горизонты</v>
      </c>
      <c r="B86" s="51">
        <v>16189</v>
      </c>
      <c r="C86" s="78" t="s">
        <v>42</v>
      </c>
      <c r="D86" s="52">
        <v>1150</v>
      </c>
      <c r="E86" s="53">
        <f t="shared" si="11"/>
        <v>1150</v>
      </c>
      <c r="F86" s="57"/>
      <c r="G86" s="58">
        <f t="shared" si="13"/>
        <v>0</v>
      </c>
      <c r="H86" s="55">
        <f t="shared" si="14"/>
        <v>0</v>
      </c>
      <c r="J86" s="30"/>
      <c r="K86" s="31"/>
    </row>
    <row r="87" spans="1:11" s="10" customFormat="1" ht="30" customHeight="1" x14ac:dyDescent="0.3">
      <c r="A87" s="74" t="str">
        <f>HYPERLINK("https://www.crowdgames.ru/collection/portaly", "Порталы")</f>
        <v>Порталы</v>
      </c>
      <c r="B87" s="51">
        <v>16211</v>
      </c>
      <c r="C87" s="78" t="s">
        <v>42</v>
      </c>
      <c r="D87" s="52">
        <v>2990</v>
      </c>
      <c r="E87" s="53">
        <f t="shared" si="11"/>
        <v>2990</v>
      </c>
      <c r="F87" s="57"/>
      <c r="G87" s="58">
        <f t="shared" si="13"/>
        <v>0</v>
      </c>
      <c r="H87" s="55">
        <f t="shared" si="14"/>
        <v>0</v>
      </c>
    </row>
    <row r="88" spans="1:11" ht="30" customHeight="1" x14ac:dyDescent="0.3">
      <c r="A88" s="74" t="str">
        <f>HYPERLINK("https://www.crowdgames.ru/collection/poslanie-iz-kosmosa","Послание из космоса")</f>
        <v>Послание из космоса</v>
      </c>
      <c r="B88" s="51">
        <v>16331</v>
      </c>
      <c r="C88" s="78" t="s">
        <v>42</v>
      </c>
      <c r="D88" s="52">
        <v>2990</v>
      </c>
      <c r="E88" s="53">
        <f t="shared" si="11"/>
        <v>2990</v>
      </c>
      <c r="F88" s="57"/>
      <c r="G88" s="58">
        <f t="shared" si="13"/>
        <v>0</v>
      </c>
      <c r="H88" s="55">
        <f t="shared" si="14"/>
        <v>0</v>
      </c>
      <c r="J88" s="32"/>
    </row>
    <row r="89" spans="1:11" ht="30" customHeight="1" x14ac:dyDescent="0.3">
      <c r="A89" s="74" t="str">
        <f>HYPERLINK("https://www.crowdgames.ru/collection/poezium", "Поэзиум")</f>
        <v>Поэзиум</v>
      </c>
      <c r="B89" s="51">
        <v>16170</v>
      </c>
      <c r="C89" s="78" t="s">
        <v>42</v>
      </c>
      <c r="D89" s="52">
        <v>2100</v>
      </c>
      <c r="E89" s="53">
        <f t="shared" si="11"/>
        <v>2100</v>
      </c>
      <c r="F89" s="57"/>
      <c r="G89" s="58">
        <f t="shared" si="13"/>
        <v>0</v>
      </c>
      <c r="H89" s="55">
        <f t="shared" si="14"/>
        <v>0</v>
      </c>
      <c r="J89" s="27"/>
      <c r="K89" s="27"/>
    </row>
    <row r="90" spans="1:11" s="10" customFormat="1" ht="30" customHeight="1" x14ac:dyDescent="0.3">
      <c r="A90" s="74" t="str">
        <f>HYPERLINK("https://www.crowdgames.ru/collection/primal-probuzhdenie", "Праймал. Гора Хаоса (Дополнение)")</f>
        <v>Праймал. Гора Хаоса (Дополнение)</v>
      </c>
      <c r="B90" s="51">
        <v>16409</v>
      </c>
      <c r="C90" s="78" t="s">
        <v>42</v>
      </c>
      <c r="D90" s="52">
        <v>3990</v>
      </c>
      <c r="E90" s="53">
        <f t="shared" si="11"/>
        <v>3990</v>
      </c>
      <c r="F90" s="61"/>
      <c r="G90" s="55">
        <f t="shared" si="13"/>
        <v>0</v>
      </c>
      <c r="H90" s="55">
        <f t="shared" si="14"/>
        <v>0</v>
      </c>
    </row>
    <row r="91" spans="1:11" s="10" customFormat="1" ht="30" customHeight="1" x14ac:dyDescent="0.3">
      <c r="A91" s="74" t="str">
        <f>HYPERLINK("https://www.crowdgames.ru/collection/primal-probuzhdenie", "Праймал. Кошмар (Дополнение)")</f>
        <v>Праймал. Кошмар (Дополнение)</v>
      </c>
      <c r="B91" s="51">
        <v>16408</v>
      </c>
      <c r="C91" s="78" t="s">
        <v>42</v>
      </c>
      <c r="D91" s="52">
        <v>4490</v>
      </c>
      <c r="E91" s="53">
        <f t="shared" si="11"/>
        <v>4490</v>
      </c>
      <c r="F91" s="61"/>
      <c r="G91" s="55">
        <f t="shared" si="13"/>
        <v>0</v>
      </c>
      <c r="H91" s="55">
        <f t="shared" si="14"/>
        <v>0</v>
      </c>
    </row>
    <row r="92" spans="1:11" ht="30" customHeight="1" x14ac:dyDescent="0.3">
      <c r="A92" s="74" t="str">
        <f>HYPERLINK("https://www.crowdgames.ru/collection/primal-probuzhdenie", "Праймал. Лёд (Дополнение)")</f>
        <v>Праймал. Лёд (Дополнение)</v>
      </c>
      <c r="B92" s="51">
        <v>16411</v>
      </c>
      <c r="C92" s="78" t="s">
        <v>42</v>
      </c>
      <c r="D92" s="52">
        <v>3990</v>
      </c>
      <c r="E92" s="53">
        <f t="shared" si="11"/>
        <v>3990</v>
      </c>
      <c r="F92" s="61"/>
      <c r="G92" s="55">
        <f t="shared" si="13"/>
        <v>0</v>
      </c>
      <c r="H92" s="55">
        <f t="shared" si="14"/>
        <v>0</v>
      </c>
      <c r="J92" s="32"/>
    </row>
    <row r="93" spans="1:11" ht="30" customHeight="1" x14ac:dyDescent="0.3">
      <c r="A93" s="74" t="str">
        <f>HYPERLINK("https://www.crowdgames.ru/collection/primal-probuzhdenie", "Праймал. Перо (Дополнение)")</f>
        <v>Праймал. Перо (Дополнение)</v>
      </c>
      <c r="B93" s="51">
        <v>16412</v>
      </c>
      <c r="C93" s="78" t="s">
        <v>42</v>
      </c>
      <c r="D93" s="52">
        <v>3990</v>
      </c>
      <c r="E93" s="53">
        <f t="shared" si="11"/>
        <v>3990</v>
      </c>
      <c r="F93" s="61"/>
      <c r="G93" s="55">
        <f t="shared" si="13"/>
        <v>0</v>
      </c>
      <c r="H93" s="55">
        <f t="shared" si="14"/>
        <v>0</v>
      </c>
      <c r="J93" s="27"/>
      <c r="K93" s="27"/>
    </row>
    <row r="94" spans="1:11" s="10" customFormat="1" ht="30" customHeight="1" x14ac:dyDescent="0.3">
      <c r="A94" s="74" t="str">
        <f>HYPERLINK("https://www.crowdgames.ru/collection/primal-probuzhdenie", "Праймал. Пробуждение")</f>
        <v>Праймал. Пробуждение</v>
      </c>
      <c r="B94" s="51">
        <v>16407</v>
      </c>
      <c r="C94" s="78" t="s">
        <v>42</v>
      </c>
      <c r="D94" s="52">
        <v>19990</v>
      </c>
      <c r="E94" s="53">
        <f t="shared" si="11"/>
        <v>19990</v>
      </c>
      <c r="F94" s="61"/>
      <c r="G94" s="55">
        <f t="shared" si="13"/>
        <v>0</v>
      </c>
      <c r="H94" s="55">
        <f t="shared" si="14"/>
        <v>0</v>
      </c>
    </row>
    <row r="95" spans="1:11" s="10" customFormat="1" ht="30" customHeight="1" x14ac:dyDescent="0.3">
      <c r="A95" s="74" t="str">
        <f>HYPERLINK("https://www.crowdgames.ru/collection/primal-probuzhdenie", "Праймал. Яд (Дополнение)")</f>
        <v>Праймал. Яд (Дополнение)</v>
      </c>
      <c r="B95" s="51">
        <v>16410</v>
      </c>
      <c r="C95" s="78" t="s">
        <v>42</v>
      </c>
      <c r="D95" s="52">
        <v>3990</v>
      </c>
      <c r="E95" s="53">
        <f t="shared" si="11"/>
        <v>3990</v>
      </c>
      <c r="F95" s="61"/>
      <c r="G95" s="55">
        <f t="shared" si="13"/>
        <v>0</v>
      </c>
      <c r="H95" s="55">
        <f t="shared" si="14"/>
        <v>0</v>
      </c>
    </row>
    <row r="96" spans="1:11" s="10" customFormat="1" ht="30" customHeight="1" x14ac:dyDescent="0.3">
      <c r="A96" s="74" t="str">
        <f>HYPERLINK("https://www.crowdgames.ru/collection/predel-razdor-i-padenie", "Предел")</f>
        <v>Предел</v>
      </c>
      <c r="B96" s="51">
        <v>16273</v>
      </c>
      <c r="C96" s="78" t="s">
        <v>42</v>
      </c>
      <c r="D96" s="52">
        <v>6290</v>
      </c>
      <c r="E96" s="53">
        <f t="shared" si="11"/>
        <v>6290</v>
      </c>
      <c r="F96" s="57"/>
      <c r="G96" s="58">
        <f t="shared" si="13"/>
        <v>0</v>
      </c>
      <c r="H96" s="55">
        <f t="shared" si="14"/>
        <v>0</v>
      </c>
    </row>
    <row r="97" spans="1:11" s="10" customFormat="1" ht="30" customHeight="1" x14ac:dyDescent="0.3">
      <c r="A97" s="74" t="str">
        <f>HYPERLINK("https://www.crowdgames.ru/collection/predel-zarazhenie", "Предел. Заражение (Дополнение)")</f>
        <v>Предел. Заражение (Дополнение)</v>
      </c>
      <c r="B97" s="51">
        <v>16286</v>
      </c>
      <c r="C97" s="78" t="s">
        <v>42</v>
      </c>
      <c r="D97" s="52">
        <v>8990</v>
      </c>
      <c r="E97" s="53">
        <f t="shared" si="11"/>
        <v>8990</v>
      </c>
      <c r="F97" s="57"/>
      <c r="G97" s="58">
        <f t="shared" si="13"/>
        <v>0</v>
      </c>
      <c r="H97" s="55">
        <f t="shared" si="14"/>
        <v>0</v>
      </c>
    </row>
    <row r="98" spans="1:11" s="10" customFormat="1" ht="30" customHeight="1" x14ac:dyDescent="0.3">
      <c r="A98" s="74" t="str">
        <f>HYPERLINK("https://www.crowdgames.ru/collection/predel-razdor-i-padenie", "Предел. Набор фигурок (Дополнение)")</f>
        <v>Предел. Набор фигурок (Дополнение)</v>
      </c>
      <c r="B98" s="51">
        <v>16287</v>
      </c>
      <c r="C98" s="78" t="s">
        <v>42</v>
      </c>
      <c r="D98" s="52">
        <v>4290</v>
      </c>
      <c r="E98" s="53">
        <f t="shared" si="11"/>
        <v>4290</v>
      </c>
      <c r="F98" s="57"/>
      <c r="G98" s="58">
        <f t="shared" si="13"/>
        <v>0</v>
      </c>
      <c r="H98" s="55">
        <f t="shared" si="14"/>
        <v>0</v>
      </c>
    </row>
    <row r="99" spans="1:11" ht="30" customHeight="1" x14ac:dyDescent="0.3">
      <c r="A99" s="74" t="str">
        <f>HYPERLINK("https://www.crowdgames.ru/collection/priveredy", "Привереды")</f>
        <v>Привереды</v>
      </c>
      <c r="B99" s="51">
        <v>16123</v>
      </c>
      <c r="C99" s="78" t="s">
        <v>42</v>
      </c>
      <c r="D99" s="52">
        <v>750</v>
      </c>
      <c r="E99" s="53">
        <f t="shared" si="11"/>
        <v>750</v>
      </c>
      <c r="F99" s="57"/>
      <c r="G99" s="58">
        <f t="shared" si="13"/>
        <v>0</v>
      </c>
      <c r="H99" s="55">
        <f t="shared" si="14"/>
        <v>0</v>
      </c>
      <c r="J99" s="30"/>
      <c r="K99" s="31"/>
    </row>
    <row r="100" spans="1:11" s="10" customFormat="1" ht="30" customHeight="1" x14ac:dyDescent="0.3">
      <c r="A100" s="74" t="str">
        <f>HYPERLINK("https://www.crowdgames.ru/collection/prigorod", "Пригород")</f>
        <v>Пригород</v>
      </c>
      <c r="B100" s="51">
        <v>16166</v>
      </c>
      <c r="C100" s="78" t="s">
        <v>42</v>
      </c>
      <c r="D100" s="52">
        <v>5600</v>
      </c>
      <c r="E100" s="53">
        <f t="shared" si="11"/>
        <v>5600</v>
      </c>
      <c r="F100" s="57"/>
      <c r="G100" s="58">
        <f t="shared" si="13"/>
        <v>0</v>
      </c>
      <c r="H100" s="55">
        <f t="shared" si="14"/>
        <v>0</v>
      </c>
    </row>
    <row r="101" spans="1:11" s="10" customFormat="1" ht="30" customHeight="1" x14ac:dyDescent="0.3">
      <c r="A101" s="74" t="str">
        <f>HYPERLINK("https://www.crowdgames.ru/collection/project-l-dopolneniya", "Проект L. Призрачная фигура (Дополнение)")</f>
        <v>Проект L. Призрачная фигура (Дополнение)</v>
      </c>
      <c r="B101" s="51" t="s">
        <v>14</v>
      </c>
      <c r="C101" s="78" t="s">
        <v>42</v>
      </c>
      <c r="D101" s="52">
        <v>2150</v>
      </c>
      <c r="E101" s="53">
        <f t="shared" ref="E101:E125" si="15">D101*(1-$D$183)</f>
        <v>2150</v>
      </c>
      <c r="F101" s="57"/>
      <c r="G101" s="58">
        <f t="shared" si="13"/>
        <v>0</v>
      </c>
      <c r="H101" s="55">
        <f t="shared" si="14"/>
        <v>0</v>
      </c>
    </row>
    <row r="102" spans="1:11" ht="30" customHeight="1" x14ac:dyDescent="0.3">
      <c r="A102" s="74" t="str">
        <f>HYPERLINK("https://www.crowdgames.ru/collection/project-l-dopolneniya", "Проект L. Уловки (Дополнение)")</f>
        <v>Проект L. Уловки (Дополнение)</v>
      </c>
      <c r="B102" s="51" t="s">
        <v>15</v>
      </c>
      <c r="C102" s="78" t="s">
        <v>42</v>
      </c>
      <c r="D102" s="52">
        <v>1650</v>
      </c>
      <c r="E102" s="53">
        <f t="shared" si="15"/>
        <v>1650</v>
      </c>
      <c r="F102" s="57"/>
      <c r="G102" s="58">
        <f t="shared" si="13"/>
        <v>0</v>
      </c>
      <c r="H102" s="55">
        <f t="shared" si="14"/>
        <v>0</v>
      </c>
      <c r="J102" s="27"/>
      <c r="K102" s="27"/>
    </row>
    <row r="103" spans="1:11" ht="30" customHeight="1" x14ac:dyDescent="0.3">
      <c r="A103" s="74" t="str">
        <f>HYPERLINK("https://www.crowdgames.ru/collection/puteshestvie-darvina", "Путешествие Дарвина")</f>
        <v>Путешествие Дарвина</v>
      </c>
      <c r="B103" s="51">
        <v>16256</v>
      </c>
      <c r="C103" s="78" t="s">
        <v>42</v>
      </c>
      <c r="D103" s="52">
        <v>6290</v>
      </c>
      <c r="E103" s="53">
        <f t="shared" si="15"/>
        <v>6290</v>
      </c>
      <c r="F103" s="57"/>
      <c r="G103" s="58">
        <f t="shared" si="13"/>
        <v>0</v>
      </c>
      <c r="H103" s="55">
        <f t="shared" si="14"/>
        <v>0</v>
      </c>
      <c r="J103" s="27"/>
      <c r="K103" s="27"/>
    </row>
    <row r="104" spans="1:11" s="10" customFormat="1" ht="30" customHeight="1" x14ac:dyDescent="0.3">
      <c r="A104" s="74" t="str">
        <f>HYPERLINK("https://www.crowdgames.ru/collection/novinki-essena-2025", "Пылающее сердце")</f>
        <v>Пылающее сердце</v>
      </c>
      <c r="B104" s="51">
        <v>16420</v>
      </c>
      <c r="C104" s="78" t="s">
        <v>42</v>
      </c>
      <c r="D104" s="52">
        <v>4290</v>
      </c>
      <c r="E104" s="53">
        <f t="shared" si="15"/>
        <v>4290</v>
      </c>
      <c r="F104" s="57"/>
      <c r="G104" s="58">
        <f t="shared" si="13"/>
        <v>0</v>
      </c>
      <c r="H104" s="55">
        <f t="shared" si="14"/>
        <v>0</v>
      </c>
      <c r="J104" s="27"/>
      <c r="K104" s="27"/>
    </row>
    <row r="105" spans="1:11" ht="30" customHeight="1" x14ac:dyDescent="0.3">
      <c r="A105" s="74" t="str">
        <f>HYPERLINK("https://www.crowdgames.ru/collection/pyat-plemyon", "Пять племён. Джинны Накалы")</f>
        <v>Пять племён. Джинны Накалы</v>
      </c>
      <c r="B105" s="51">
        <v>16154</v>
      </c>
      <c r="C105" s="78" t="s">
        <v>42</v>
      </c>
      <c r="D105" s="52">
        <v>6250</v>
      </c>
      <c r="E105" s="53">
        <f t="shared" si="15"/>
        <v>6250</v>
      </c>
      <c r="F105" s="57"/>
      <c r="G105" s="58">
        <f t="shared" si="13"/>
        <v>0</v>
      </c>
      <c r="H105" s="55">
        <f t="shared" si="14"/>
        <v>0</v>
      </c>
      <c r="J105" s="27"/>
      <c r="K105" s="27"/>
    </row>
    <row r="106" spans="1:11" ht="30" customHeight="1" x14ac:dyDescent="0.3">
      <c r="A106" s="74" t="str">
        <f>HYPERLINK("https://www.crowdgames.ru/collection/pyat-plemyon", "Пять племён. Ремесленники Накалы (Дополнение)")</f>
        <v>Пять племён. Ремесленники Накалы (Дополнение)</v>
      </c>
      <c r="B106" s="51">
        <v>16155</v>
      </c>
      <c r="C106" s="78" t="s">
        <v>42</v>
      </c>
      <c r="D106" s="52">
        <v>3250</v>
      </c>
      <c r="E106" s="53">
        <f t="shared" si="15"/>
        <v>3250</v>
      </c>
      <c r="F106" s="57"/>
      <c r="G106" s="58">
        <f t="shared" si="13"/>
        <v>0</v>
      </c>
      <c r="H106" s="55">
        <f t="shared" si="14"/>
        <v>0</v>
      </c>
      <c r="J106" s="8"/>
    </row>
    <row r="107" spans="1:11" ht="30" customHeight="1" x14ac:dyDescent="0.3">
      <c r="A107" s="74" t="str">
        <f>HYPERLINK("https://www.crowdgames.ru/collection/sagrada", "Саграда (Обновленное издание)")</f>
        <v>Саграда (Обновленное издание)</v>
      </c>
      <c r="B107" s="51">
        <v>16336</v>
      </c>
      <c r="C107" s="78" t="s">
        <v>42</v>
      </c>
      <c r="D107" s="52">
        <v>3490</v>
      </c>
      <c r="E107" s="53">
        <f t="shared" si="15"/>
        <v>3490</v>
      </c>
      <c r="F107" s="57"/>
      <c r="G107" s="58">
        <f t="shared" si="13"/>
        <v>0</v>
      </c>
      <c r="H107" s="55">
        <f t="shared" si="14"/>
        <v>0</v>
      </c>
      <c r="J107" s="8"/>
    </row>
    <row r="108" spans="1:11" ht="30" customHeight="1" x14ac:dyDescent="0.3">
      <c r="A108" s="74" t="str">
        <f>HYPERLINK("https://www.crowdgames.ru/collection/dopolnenie-k-igre-sagrada","Саграда. 5—6 игроков")</f>
        <v>Саграда. 5—6 игроков</v>
      </c>
      <c r="B108" s="51">
        <v>16094</v>
      </c>
      <c r="C108" s="78" t="s">
        <v>42</v>
      </c>
      <c r="D108" s="52">
        <v>2250</v>
      </c>
      <c r="E108" s="53">
        <f t="shared" si="15"/>
        <v>2250</v>
      </c>
      <c r="F108" s="57"/>
      <c r="G108" s="58">
        <f t="shared" si="13"/>
        <v>0</v>
      </c>
      <c r="H108" s="55">
        <f t="shared" si="14"/>
        <v>0</v>
      </c>
      <c r="J108" s="27"/>
      <c r="K108" s="27"/>
    </row>
    <row r="109" spans="1:11" ht="30" customHeight="1" x14ac:dyDescent="0.3">
      <c r="A109" s="74" t="str">
        <f>HYPERLINK("https://www.crowdgames.ru/collection/serp", "Серп")</f>
        <v>Серп</v>
      </c>
      <c r="B109" s="51">
        <v>16007</v>
      </c>
      <c r="C109" s="78" t="s">
        <v>43</v>
      </c>
      <c r="D109" s="52">
        <v>9990</v>
      </c>
      <c r="E109" s="53">
        <f t="shared" si="15"/>
        <v>9990</v>
      </c>
      <c r="F109" s="57"/>
      <c r="G109" s="58">
        <f t="shared" si="13"/>
        <v>0</v>
      </c>
      <c r="H109" s="55">
        <f t="shared" si="14"/>
        <v>0</v>
      </c>
      <c r="J109" s="27"/>
      <c r="K109" s="27"/>
    </row>
    <row r="110" spans="1:11" ht="30" customHeight="1" x14ac:dyDescent="0.3">
      <c r="A110" s="74" t="str">
        <f>HYPERLINK("https://www.crowdgames.ru/collection/fenris-2", "Серп. Восхождение Фенриса")</f>
        <v>Серп. Восхождение Фенриса</v>
      </c>
      <c r="B110" s="51">
        <v>16075</v>
      </c>
      <c r="C110" s="78" t="s">
        <v>42</v>
      </c>
      <c r="D110" s="52">
        <v>5990</v>
      </c>
      <c r="E110" s="53">
        <f t="shared" si="15"/>
        <v>5990</v>
      </c>
      <c r="F110" s="57"/>
      <c r="G110" s="58">
        <f t="shared" ref="G110:G143" si="16">D110*F110</f>
        <v>0</v>
      </c>
      <c r="H110" s="55">
        <f t="shared" ref="H110:H146" si="17">F110*E110</f>
        <v>0</v>
      </c>
      <c r="J110" s="30"/>
      <c r="K110" s="31"/>
    </row>
    <row r="111" spans="1:11" ht="30" customHeight="1" x14ac:dyDescent="0.3">
      <c r="A111" s="74" t="str">
        <f>HYPERLINK("https://www.crowdgames.ru/collection/serp-zahvatchiki", "Серп. Захватчики из далеких земель")</f>
        <v>Серп. Захватчики из далеких земель</v>
      </c>
      <c r="B111" s="51">
        <v>16024</v>
      </c>
      <c r="C111" s="78" t="s">
        <v>42</v>
      </c>
      <c r="D111" s="52">
        <v>3490</v>
      </c>
      <c r="E111" s="53">
        <f t="shared" si="15"/>
        <v>3490</v>
      </c>
      <c r="F111" s="57"/>
      <c r="G111" s="58">
        <f t="shared" si="16"/>
        <v>0</v>
      </c>
      <c r="H111" s="55">
        <f t="shared" si="17"/>
        <v>0</v>
      </c>
      <c r="J111" s="11"/>
    </row>
    <row r="112" spans="1:11" ht="30" customHeight="1" x14ac:dyDescent="0.3">
      <c r="A112" s="74" t="str">
        <f>HYPERLINK("https://www.crowdgames.ru/collection/serp-ng", "Серп. Небесный гамбит")</f>
        <v>Серп. Небесный гамбит</v>
      </c>
      <c r="B112" s="51">
        <v>16029</v>
      </c>
      <c r="C112" s="78" t="s">
        <v>42</v>
      </c>
      <c r="D112" s="52">
        <v>3250</v>
      </c>
      <c r="E112" s="53">
        <f t="shared" si="15"/>
        <v>3250</v>
      </c>
      <c r="F112" s="57"/>
      <c r="G112" s="58">
        <f t="shared" si="16"/>
        <v>0</v>
      </c>
      <c r="H112" s="55">
        <f t="shared" si="17"/>
        <v>0</v>
      </c>
      <c r="J112" s="27"/>
      <c r="K112" s="27"/>
    </row>
    <row r="113" spans="1:11" ht="30" customHeight="1" x14ac:dyDescent="0.3">
      <c r="A113" s="74" t="str">
        <f>HYPERLINK("https://www.crowdgames.ru/collection/mini-dopolnenie-serp-priklyucheniya", "Серп. Приключения")</f>
        <v>Серп. Приключения</v>
      </c>
      <c r="B113" s="51">
        <v>16079</v>
      </c>
      <c r="C113" s="78" t="s">
        <v>42</v>
      </c>
      <c r="D113" s="52">
        <v>2250</v>
      </c>
      <c r="E113" s="53">
        <f t="shared" si="15"/>
        <v>2250</v>
      </c>
      <c r="F113" s="57"/>
      <c r="G113" s="58">
        <f t="shared" si="16"/>
        <v>0</v>
      </c>
      <c r="H113" s="55">
        <f t="shared" si="17"/>
        <v>0</v>
      </c>
      <c r="J113" s="27"/>
      <c r="K113" s="27"/>
    </row>
    <row r="114" spans="1:11" ht="30" customHeight="1" x14ac:dyDescent="0.3">
      <c r="A114" s="74" t="str">
        <f>HYPERLINK("https://www.crowdgames.ru/collection/sladkozemie", "Сладкоземье")</f>
        <v>Сладкоземье</v>
      </c>
      <c r="B114" s="51">
        <v>16403</v>
      </c>
      <c r="C114" s="78" t="s">
        <v>42</v>
      </c>
      <c r="D114" s="52">
        <v>8990</v>
      </c>
      <c r="E114" s="53">
        <f t="shared" si="15"/>
        <v>8990</v>
      </c>
      <c r="F114" s="57"/>
      <c r="G114" s="58">
        <f t="shared" si="16"/>
        <v>0</v>
      </c>
      <c r="H114" s="55">
        <f t="shared" si="17"/>
        <v>0</v>
      </c>
      <c r="J114" s="11"/>
    </row>
    <row r="115" spans="1:11" s="10" customFormat="1" ht="30" customHeight="1" x14ac:dyDescent="0.3">
      <c r="A115" s="74" t="str">
        <f>HYPERLINK("https://www.crowdgames.ru/collection/war-chest","Сундук войны")</f>
        <v>Сундук войны</v>
      </c>
      <c r="B115" s="51">
        <v>16127</v>
      </c>
      <c r="C115" s="78" t="s">
        <v>42</v>
      </c>
      <c r="D115" s="52">
        <v>5290</v>
      </c>
      <c r="E115" s="53">
        <f t="shared" si="15"/>
        <v>5290</v>
      </c>
      <c r="F115" s="57"/>
      <c r="G115" s="58">
        <f t="shared" si="16"/>
        <v>0</v>
      </c>
      <c r="H115" s="55">
        <f t="shared" si="17"/>
        <v>0</v>
      </c>
      <c r="J115" s="8"/>
    </row>
    <row r="116" spans="1:11" ht="30" customHeight="1" x14ac:dyDescent="0.3">
      <c r="A116" s="74" t="str">
        <f>HYPERLINK("https://www.crowdgames.ru/collection/sunduk-voyny-osada","Сундук войны. Сумерки")</f>
        <v>Сундук войны. Сумерки</v>
      </c>
      <c r="B116" s="51">
        <v>16233</v>
      </c>
      <c r="C116" s="78" t="s">
        <v>42</v>
      </c>
      <c r="D116" s="52">
        <v>2790</v>
      </c>
      <c r="E116" s="53">
        <f t="shared" si="15"/>
        <v>2790</v>
      </c>
      <c r="F116" s="57"/>
      <c r="G116" s="58">
        <f t="shared" si="16"/>
        <v>0</v>
      </c>
      <c r="H116" s="55">
        <f t="shared" si="17"/>
        <v>0</v>
      </c>
      <c r="J116" s="8"/>
    </row>
    <row r="117" spans="1:11" ht="30" customHeight="1" x14ac:dyDescent="0.3">
      <c r="A117" s="74" t="str">
        <f>HYPERLINK("https://www.crowdgames.ru/collection/taynaya-vlast-noviy-mirovoy-poryadok-vtoroye-izdaniye", "Тайная власть. Всемирный заговор (Дополнение)")</f>
        <v>Тайная власть. Всемирный заговор (Дополнение)</v>
      </c>
      <c r="B117" s="51">
        <v>16163</v>
      </c>
      <c r="C117" s="78" t="s">
        <v>42</v>
      </c>
      <c r="D117" s="52">
        <v>990</v>
      </c>
      <c r="E117" s="53">
        <f t="shared" si="15"/>
        <v>990</v>
      </c>
      <c r="F117" s="57"/>
      <c r="G117" s="58">
        <f t="shared" si="16"/>
        <v>0</v>
      </c>
      <c r="H117" s="55">
        <f t="shared" si="17"/>
        <v>0</v>
      </c>
      <c r="J117" s="8"/>
    </row>
    <row r="118" spans="1:11" ht="30" customHeight="1" x14ac:dyDescent="0.3">
      <c r="A118" s="74" t="str">
        <f>HYPERLINK("https://www.crowdgames.ru/collection/familyary-semeynye-tayny", "Фамильяры. Семейные тайны")</f>
        <v>Фамильяры. Семейные тайны</v>
      </c>
      <c r="B118" s="51">
        <v>16178</v>
      </c>
      <c r="C118" s="78" t="s">
        <v>42</v>
      </c>
      <c r="D118" s="52">
        <v>8490</v>
      </c>
      <c r="E118" s="53">
        <f t="shared" si="15"/>
        <v>8490</v>
      </c>
      <c r="F118" s="57"/>
      <c r="G118" s="58">
        <f t="shared" si="16"/>
        <v>0</v>
      </c>
      <c r="H118" s="55">
        <f t="shared" si="17"/>
        <v>0</v>
      </c>
      <c r="J118" s="8"/>
    </row>
    <row r="119" spans="1:11" ht="30" customHeight="1" x14ac:dyDescent="0.3">
      <c r="A119" s="74" t="str">
        <f>HYPERLINK("https://www.crowdgames.ru/collection/federatsiya", "Федерация. Делюкс-издание")</f>
        <v>Федерация. Делюкс-издание</v>
      </c>
      <c r="B119" s="51">
        <v>16215</v>
      </c>
      <c r="C119" s="78" t="s">
        <v>42</v>
      </c>
      <c r="D119" s="52">
        <v>8490</v>
      </c>
      <c r="E119" s="53">
        <f t="shared" si="15"/>
        <v>8490</v>
      </c>
      <c r="F119" s="57"/>
      <c r="G119" s="58">
        <f t="shared" si="16"/>
        <v>0</v>
      </c>
      <c r="H119" s="55">
        <f t="shared" si="17"/>
        <v>0</v>
      </c>
      <c r="J119" s="8"/>
    </row>
    <row r="120" spans="1:11" ht="30" customHeight="1" x14ac:dyDescent="0.3">
      <c r="A120" s="74" t="str">
        <f>HYPERLINK("https://www.crowdgames.ru/collection/feya-swamp", "Фейя. Болотный край")</f>
        <v>Фейя. Болотный край</v>
      </c>
      <c r="B120" s="51">
        <v>16418</v>
      </c>
      <c r="C120" s="78" t="s">
        <v>42</v>
      </c>
      <c r="D120" s="52">
        <v>3990</v>
      </c>
      <c r="E120" s="53">
        <f t="shared" si="15"/>
        <v>3990</v>
      </c>
      <c r="F120" s="57"/>
      <c r="G120" s="58">
        <f t="shared" si="16"/>
        <v>0</v>
      </c>
      <c r="H120" s="55">
        <f t="shared" si="17"/>
        <v>0</v>
      </c>
      <c r="J120" s="8"/>
    </row>
    <row r="121" spans="1:11" s="10" customFormat="1" ht="30" customHeight="1" x14ac:dyDescent="0.3">
      <c r="A121" s="74" t="str">
        <f>HYPERLINK("https://www.crowdgames.ru/collection/feod", "Феод. Белки и ёлки (Дополнение)")</f>
        <v>Феод. Белки и ёлки (Дополнение)</v>
      </c>
      <c r="B121" s="51">
        <v>16310</v>
      </c>
      <c r="C121" s="78" t="s">
        <v>43</v>
      </c>
      <c r="D121" s="52">
        <v>1990</v>
      </c>
      <c r="E121" s="53">
        <f t="shared" si="15"/>
        <v>1990</v>
      </c>
      <c r="F121" s="57"/>
      <c r="G121" s="58">
        <f t="shared" si="16"/>
        <v>0</v>
      </c>
      <c r="H121" s="55">
        <f t="shared" si="17"/>
        <v>0</v>
      </c>
      <c r="I121" s="2"/>
      <c r="J121" s="28"/>
      <c r="K121" s="28"/>
    </row>
    <row r="122" spans="1:11" ht="30" customHeight="1" x14ac:dyDescent="0.3">
      <c r="A122" s="74" t="str">
        <f>HYPERLINK("https://www.crowdgames.ru/collection/feod", "Феод. Мельницы и катапульты (Дополнение)")</f>
        <v>Феод. Мельницы и катапульты (Дополнение)</v>
      </c>
      <c r="B122" s="51">
        <v>16303</v>
      </c>
      <c r="C122" s="78" t="s">
        <v>43</v>
      </c>
      <c r="D122" s="52">
        <v>1990</v>
      </c>
      <c r="E122" s="53">
        <f t="shared" si="15"/>
        <v>1990</v>
      </c>
      <c r="F122" s="57"/>
      <c r="G122" s="58">
        <f t="shared" si="16"/>
        <v>0</v>
      </c>
      <c r="H122" s="55">
        <f t="shared" si="17"/>
        <v>0</v>
      </c>
    </row>
    <row r="123" spans="1:11" s="10" customFormat="1" ht="30" customHeight="1" x14ac:dyDescent="0.3">
      <c r="A123" s="74" t="str">
        <f>HYPERLINK("https://www.crowdgames.ru/collection/feod", "Феод. Обновлённое издание")</f>
        <v>Феод. Обновлённое издание</v>
      </c>
      <c r="B123" s="51">
        <v>16302</v>
      </c>
      <c r="C123" s="78" t="s">
        <v>42</v>
      </c>
      <c r="D123" s="52">
        <v>9490</v>
      </c>
      <c r="E123" s="53">
        <f t="shared" si="15"/>
        <v>9490</v>
      </c>
      <c r="F123" s="57"/>
      <c r="G123" s="58">
        <f t="shared" si="16"/>
        <v>0</v>
      </c>
      <c r="H123" s="55">
        <f t="shared" si="17"/>
        <v>0</v>
      </c>
      <c r="J123" s="8"/>
    </row>
    <row r="124" spans="1:11" ht="30" customHeight="1" x14ac:dyDescent="0.3">
      <c r="A124" s="74" t="str">
        <f>HYPERLINK("https://www.crowdgames.ru/collection/feod", "Феод. Сирены и тюлени (Дополнение)")</f>
        <v>Феод. Сирены и тюлени (Дополнение)</v>
      </c>
      <c r="B124" s="51">
        <v>16311</v>
      </c>
      <c r="C124" s="78" t="s">
        <v>42</v>
      </c>
      <c r="D124" s="52">
        <v>1990</v>
      </c>
      <c r="E124" s="53">
        <f t="shared" si="15"/>
        <v>1990</v>
      </c>
      <c r="F124" s="57"/>
      <c r="G124" s="58">
        <f t="shared" si="16"/>
        <v>0</v>
      </c>
      <c r="H124" s="55">
        <f t="shared" si="17"/>
        <v>0</v>
      </c>
    </row>
    <row r="125" spans="1:11" ht="30" customHeight="1" x14ac:dyDescent="0.3">
      <c r="A125" s="74" t="str">
        <f>HYPERLINK("https://www.crowdgames.ru/collection/fermageddon", "Фермагеддон")</f>
        <v>Фермагеддон</v>
      </c>
      <c r="B125" s="51">
        <v>16422</v>
      </c>
      <c r="C125" s="78" t="s">
        <v>42</v>
      </c>
      <c r="D125" s="52">
        <v>4690</v>
      </c>
      <c r="E125" s="53">
        <f t="shared" si="15"/>
        <v>4690</v>
      </c>
      <c r="F125" s="57"/>
      <c r="G125" s="58">
        <f t="shared" si="16"/>
        <v>0</v>
      </c>
      <c r="H125" s="55">
        <f t="shared" si="17"/>
        <v>0</v>
      </c>
      <c r="J125" s="30"/>
      <c r="K125" s="31"/>
    </row>
    <row r="126" spans="1:11" ht="30" customHeight="1" x14ac:dyDescent="0.3">
      <c r="A126" s="74" t="str">
        <f>HYPERLINK("https://www.crowdgames.ru/collection/fermageddon", "Фермагеддон. Делюкс. Набор улучшений (Дополнение)")</f>
        <v>Фермагеддон. Делюкс. Набор улучшений (Дополнение)</v>
      </c>
      <c r="B126" s="51">
        <v>16434</v>
      </c>
      <c r="C126" s="78" t="s">
        <v>42</v>
      </c>
      <c r="D126" s="52">
        <v>3690</v>
      </c>
      <c r="E126" s="53">
        <f t="shared" ref="E126" si="18">D126*(1-$D$183)</f>
        <v>3690</v>
      </c>
      <c r="F126" s="57"/>
      <c r="G126" s="58">
        <f t="shared" ref="G126" si="19">D126*F126</f>
        <v>0</v>
      </c>
      <c r="H126" s="55">
        <f t="shared" ref="H126" si="20">F126*E126</f>
        <v>0</v>
      </c>
      <c r="J126" s="30"/>
      <c r="K126" s="31"/>
    </row>
    <row r="127" spans="1:11" ht="30" customHeight="1" x14ac:dyDescent="0.3">
      <c r="A127" s="74" t="str">
        <f>HYPERLINK("https://www.crowdgames.ru/collection/fonariki-prazdnik-urozhaya","Фонарики. Праздник урожая")</f>
        <v>Фонарики. Праздник урожая</v>
      </c>
      <c r="B127" s="51">
        <v>16006</v>
      </c>
      <c r="C127" s="78" t="s">
        <v>42</v>
      </c>
      <c r="D127" s="52">
        <v>1290</v>
      </c>
      <c r="E127" s="53">
        <f t="shared" ref="E127:E132" si="21">D127*(1-$D$183)</f>
        <v>1290</v>
      </c>
      <c r="F127" s="57"/>
      <c r="G127" s="58">
        <f t="shared" si="16"/>
        <v>0</v>
      </c>
      <c r="H127" s="55">
        <f t="shared" si="17"/>
        <v>0</v>
      </c>
      <c r="J127" s="30"/>
    </row>
    <row r="128" spans="1:11" ht="30" customHeight="1" x14ac:dyDescent="0.3">
      <c r="A128" s="74" t="str">
        <f>HYPERLINK("https://www.crowdgames.ru/collection/fort","Форт")</f>
        <v>Форт</v>
      </c>
      <c r="B128" s="51">
        <v>16153</v>
      </c>
      <c r="C128" s="78" t="s">
        <v>42</v>
      </c>
      <c r="D128" s="52">
        <v>2490</v>
      </c>
      <c r="E128" s="53">
        <f t="shared" si="21"/>
        <v>2490</v>
      </c>
      <c r="F128" s="57"/>
      <c r="G128" s="58">
        <f t="shared" si="16"/>
        <v>0</v>
      </c>
      <c r="H128" s="55">
        <f t="shared" si="17"/>
        <v>0</v>
      </c>
      <c r="J128" s="30"/>
    </row>
    <row r="129" spans="1:11" ht="30" customHeight="1" x14ac:dyDescent="0.3">
      <c r="A129" s="74" t="str">
        <f>HYPERLINK("https://www.crowdgames.ru/collection/hellboy", "Хеллбой")</f>
        <v>Хеллбой</v>
      </c>
      <c r="B129" s="51">
        <v>16104</v>
      </c>
      <c r="C129" s="78" t="s">
        <v>42</v>
      </c>
      <c r="D129" s="52">
        <v>7990</v>
      </c>
      <c r="E129" s="53">
        <f t="shared" si="21"/>
        <v>7990</v>
      </c>
      <c r="F129" s="57"/>
      <c r="G129" s="58">
        <f t="shared" si="16"/>
        <v>0</v>
      </c>
      <c r="H129" s="55">
        <f t="shared" si="17"/>
        <v>0</v>
      </c>
      <c r="J129" s="30"/>
    </row>
    <row r="130" spans="1:11" ht="30" customHeight="1" x14ac:dyDescent="0.3">
      <c r="A130" s="74" t="str">
        <f>HYPERLINK("https://www.crowdgames.ru/collection/hellboy-arhivy-brpd", "Хеллбой. Архивы БРПД")</f>
        <v>Хеллбой. Архивы БРПД</v>
      </c>
      <c r="B130" s="51">
        <v>16260</v>
      </c>
      <c r="C130" s="78" t="s">
        <v>42</v>
      </c>
      <c r="D130" s="52">
        <v>6290</v>
      </c>
      <c r="E130" s="53">
        <f t="shared" si="21"/>
        <v>6290</v>
      </c>
      <c r="F130" s="57"/>
      <c r="G130" s="58">
        <f t="shared" si="16"/>
        <v>0</v>
      </c>
      <c r="H130" s="55">
        <f t="shared" si="17"/>
        <v>0</v>
      </c>
      <c r="J130" s="30"/>
    </row>
    <row r="131" spans="1:11" ht="30" customHeight="1" x14ac:dyDescent="0.3">
      <c r="A131" s="74" t="str">
        <f>HYPERLINK("https://www.crowdgames.ru/collection/hellboy-arhivy-brpd", "Хеллбой. Баба-Яга")</f>
        <v>Хеллбой. Баба-Яга</v>
      </c>
      <c r="B131" s="51">
        <v>16267</v>
      </c>
      <c r="C131" s="78" t="s">
        <v>42</v>
      </c>
      <c r="D131" s="52">
        <v>3690</v>
      </c>
      <c r="E131" s="53">
        <f t="shared" si="21"/>
        <v>3690</v>
      </c>
      <c r="F131" s="57"/>
      <c r="G131" s="58">
        <f t="shared" si="16"/>
        <v>0</v>
      </c>
      <c r="H131" s="55">
        <f t="shared" si="17"/>
        <v>0</v>
      </c>
      <c r="J131" s="30"/>
    </row>
    <row r="132" spans="1:11" ht="30" customHeight="1" x14ac:dyDescent="0.3">
      <c r="A132" s="74" t="str">
        <f>HYPERLINK("https://www.crowdgames.ru/collection/hellboy-arhivy-brpd", "Хеллбой. Геката")</f>
        <v>Хеллбой. Геката</v>
      </c>
      <c r="B132" s="51">
        <v>16268</v>
      </c>
      <c r="C132" s="78" t="s">
        <v>42</v>
      </c>
      <c r="D132" s="52">
        <v>3690</v>
      </c>
      <c r="E132" s="53">
        <f t="shared" si="21"/>
        <v>3690</v>
      </c>
      <c r="F132" s="57"/>
      <c r="G132" s="58">
        <f t="shared" si="16"/>
        <v>0</v>
      </c>
      <c r="H132" s="55">
        <f t="shared" si="17"/>
        <v>0</v>
      </c>
      <c r="J132" s="30"/>
      <c r="K132" s="31"/>
    </row>
    <row r="133" spans="1:11" ht="30" customHeight="1" x14ac:dyDescent="0.3">
      <c r="A133" s="74" t="str">
        <f>HYPERLINK("https://www.crowdgames.ru/collection/hellboy-arhivy-brpd", "Хеллбой. Крампус")</f>
        <v>Хеллбой. Крампус</v>
      </c>
      <c r="B133" s="51">
        <v>16270</v>
      </c>
      <c r="C133" s="78" t="s">
        <v>42</v>
      </c>
      <c r="D133" s="52">
        <v>6290</v>
      </c>
      <c r="E133" s="53">
        <f t="shared" ref="E133:E146" si="22">D133*(1-$D$183)</f>
        <v>6290</v>
      </c>
      <c r="F133" s="57"/>
      <c r="G133" s="58">
        <f t="shared" si="16"/>
        <v>0</v>
      </c>
      <c r="H133" s="55">
        <f t="shared" si="17"/>
        <v>0</v>
      </c>
    </row>
    <row r="134" spans="1:11" s="10" customFormat="1" ht="30" customHeight="1" x14ac:dyDescent="0.3">
      <c r="A134" s="74" t="str">
        <f>HYPERLINK("https://www.crowdgames.ru/collection/hellboy-arhivy-brpd", "Хеллбой. Лобстер")</f>
        <v>Хеллбой. Лобстер</v>
      </c>
      <c r="B134" s="51">
        <v>16271</v>
      </c>
      <c r="C134" s="78" t="s">
        <v>42</v>
      </c>
      <c r="D134" s="52">
        <v>3690</v>
      </c>
      <c r="E134" s="53">
        <f t="shared" si="22"/>
        <v>3690</v>
      </c>
      <c r="F134" s="57"/>
      <c r="G134" s="58">
        <f t="shared" si="16"/>
        <v>0</v>
      </c>
      <c r="H134" s="55">
        <f t="shared" si="17"/>
        <v>0</v>
      </c>
      <c r="J134" s="8"/>
    </row>
    <row r="135" spans="1:11" s="10" customFormat="1" ht="30" customHeight="1" x14ac:dyDescent="0.3">
      <c r="A135" s="74" t="str">
        <f>HYPERLINK("https://www.crowdgames.ru/collection/hellboy-arhivy-brpd", "Хеллбой. Нимуэ, кровавая королева")</f>
        <v>Хеллбой. Нимуэ, кровавая королева</v>
      </c>
      <c r="B135" s="51">
        <v>16269</v>
      </c>
      <c r="C135" s="78" t="s">
        <v>42</v>
      </c>
      <c r="D135" s="52">
        <v>3690</v>
      </c>
      <c r="E135" s="53">
        <f t="shared" si="22"/>
        <v>3690</v>
      </c>
      <c r="F135" s="57"/>
      <c r="G135" s="58">
        <f t="shared" si="16"/>
        <v>0</v>
      </c>
      <c r="H135" s="55">
        <f t="shared" si="17"/>
        <v>0</v>
      </c>
      <c r="J135" s="8"/>
    </row>
    <row r="136" spans="1:11" ht="30" customHeight="1" x14ac:dyDescent="0.3">
      <c r="A136" s="74" t="str">
        <f>HYPERLINK("https://www.crowdgames.ru/collection/tsirk-tryoh-aren", "Цирк трёх арен")</f>
        <v>Цирк трёх арен</v>
      </c>
      <c r="B136" s="51">
        <v>16249</v>
      </c>
      <c r="C136" s="78" t="s">
        <v>42</v>
      </c>
      <c r="D136" s="52">
        <v>4000</v>
      </c>
      <c r="E136" s="53">
        <f t="shared" si="22"/>
        <v>4000</v>
      </c>
      <c r="F136" s="57"/>
      <c r="G136" s="58">
        <f t="shared" si="16"/>
        <v>0</v>
      </c>
      <c r="H136" s="55">
        <f t="shared" si="17"/>
        <v>0</v>
      </c>
      <c r="J136" s="11"/>
    </row>
    <row r="137" spans="1:11" ht="30" customHeight="1" x14ac:dyDescent="0.3">
      <c r="A137" s="74" t="str">
        <f>HYPERLINK("https://www.crowdgames.ru/collection/chyornaya-sonata-prekrasnyy-yunosha", "Чёрная соната. Прекрасный юноша (Дополнение)")</f>
        <v>Чёрная соната. Прекрасный юноша (Дополнение)</v>
      </c>
      <c r="B137" s="51">
        <v>16168</v>
      </c>
      <c r="C137" s="78" t="s">
        <v>42</v>
      </c>
      <c r="D137" s="52">
        <v>790</v>
      </c>
      <c r="E137" s="53">
        <f t="shared" si="22"/>
        <v>790</v>
      </c>
      <c r="F137" s="57"/>
      <c r="G137" s="58">
        <f t="shared" si="16"/>
        <v>0</v>
      </c>
      <c r="H137" s="55">
        <f t="shared" si="17"/>
        <v>0</v>
      </c>
      <c r="J137" s="11"/>
    </row>
    <row r="138" spans="1:11" ht="30" customHeight="1" x14ac:dyDescent="0.3">
      <c r="A138" s="74" t="str">
        <f>HYPERLINK("https://www.crowdgames.ru/collection/chernila", "Чернила")</f>
        <v>Чернила</v>
      </c>
      <c r="B138" s="51">
        <v>16326</v>
      </c>
      <c r="C138" s="78" t="s">
        <v>42</v>
      </c>
      <c r="D138" s="52">
        <v>4490</v>
      </c>
      <c r="E138" s="53">
        <f t="shared" si="22"/>
        <v>4490</v>
      </c>
      <c r="F138" s="57"/>
      <c r="G138" s="58">
        <f t="shared" si="16"/>
        <v>0</v>
      </c>
      <c r="H138" s="55">
        <f t="shared" si="17"/>
        <v>0</v>
      </c>
      <c r="J138" s="11"/>
    </row>
    <row r="139" spans="1:11" ht="30" customHeight="1" x14ac:dyDescent="0.3">
      <c r="A139" s="74" t="str">
        <f>HYPERLINK("https://www.crowdgames.ru/collection/chetyre-zelya", "Четыре зелья")</f>
        <v>Четыре зелья</v>
      </c>
      <c r="B139" s="51">
        <v>16185</v>
      </c>
      <c r="C139" s="78" t="s">
        <v>42</v>
      </c>
      <c r="D139" s="52">
        <v>3290</v>
      </c>
      <c r="E139" s="53">
        <f t="shared" si="22"/>
        <v>3290</v>
      </c>
      <c r="F139" s="57"/>
      <c r="G139" s="58">
        <f t="shared" si="16"/>
        <v>0</v>
      </c>
      <c r="H139" s="55">
        <f t="shared" si="17"/>
        <v>0</v>
      </c>
      <c r="J139" s="11"/>
    </row>
    <row r="140" spans="1:11" ht="30" customHeight="1" x14ac:dyDescent="0.3">
      <c r="A140" s="74" t="str">
        <f>HYPERLINK("https://www.crowdgames.ru/collection/chuma", "Чума")</f>
        <v>Чума</v>
      </c>
      <c r="B140" s="51">
        <v>16242</v>
      </c>
      <c r="C140" s="78" t="s">
        <v>42</v>
      </c>
      <c r="D140" s="52">
        <v>8490</v>
      </c>
      <c r="E140" s="53">
        <f t="shared" si="22"/>
        <v>8490</v>
      </c>
      <c r="F140" s="57"/>
      <c r="G140" s="58">
        <f t="shared" si="16"/>
        <v>0</v>
      </c>
      <c r="H140" s="55">
        <f t="shared" si="17"/>
        <v>0</v>
      </c>
      <c r="J140" s="11"/>
    </row>
    <row r="141" spans="1:11" ht="30" customHeight="1" x14ac:dyDescent="0.3">
      <c r="A141" s="74" t="str">
        <f>HYPERLINK("https://www.crowdgames.ru/collection/chuma", "Чума. Дорожные события (Дополнение)")</f>
        <v>Чума. Дорожные события (Дополнение)</v>
      </c>
      <c r="B141" s="51">
        <v>16243</v>
      </c>
      <c r="C141" s="78" t="s">
        <v>42</v>
      </c>
      <c r="D141" s="52">
        <v>1590</v>
      </c>
      <c r="E141" s="53">
        <f t="shared" si="22"/>
        <v>1590</v>
      </c>
      <c r="F141" s="57"/>
      <c r="G141" s="58">
        <f t="shared" si="16"/>
        <v>0</v>
      </c>
      <c r="H141" s="55">
        <f t="shared" si="17"/>
        <v>0</v>
      </c>
      <c r="J141" s="11"/>
    </row>
    <row r="142" spans="1:11" ht="30" customHeight="1" x14ac:dyDescent="0.3">
      <c r="A142" s="74" t="str">
        <f>HYPERLINK("https://www.crowdgames.ru/collection/chuma", "Чума. Набор улучшений (Дополнение)")</f>
        <v>Чума. Набор улучшений (Дополнение)</v>
      </c>
      <c r="B142" s="51" t="s">
        <v>16</v>
      </c>
      <c r="C142" s="78" t="s">
        <v>42</v>
      </c>
      <c r="D142" s="52">
        <v>3190</v>
      </c>
      <c r="E142" s="53">
        <f t="shared" si="22"/>
        <v>3190</v>
      </c>
      <c r="F142" s="57"/>
      <c r="G142" s="58">
        <f t="shared" si="16"/>
        <v>0</v>
      </c>
      <c r="H142" s="55">
        <f t="shared" si="17"/>
        <v>0</v>
      </c>
      <c r="J142" s="11"/>
    </row>
    <row r="143" spans="1:11" s="10" customFormat="1" ht="30" customHeight="1" x14ac:dyDescent="0.3">
      <c r="A143" s="74" t="str">
        <f>HYPERLINK("https://www.crowdgames.ru/collection/shtuki-v-kruge", "Штуки в круге")</f>
        <v>Штуки в круге</v>
      </c>
      <c r="B143" s="51">
        <v>16309</v>
      </c>
      <c r="C143" s="78" t="s">
        <v>42</v>
      </c>
      <c r="D143" s="52">
        <v>1990</v>
      </c>
      <c r="E143" s="53">
        <f t="shared" si="22"/>
        <v>1990</v>
      </c>
      <c r="F143" s="57"/>
      <c r="G143" s="58">
        <f t="shared" si="16"/>
        <v>0</v>
      </c>
      <c r="H143" s="55">
        <f t="shared" si="17"/>
        <v>0</v>
      </c>
      <c r="I143" s="2"/>
      <c r="J143" s="12"/>
      <c r="K143" s="12"/>
    </row>
    <row r="144" spans="1:11" ht="30" customHeight="1" x14ac:dyDescent="0.3">
      <c r="A144" s="74" t="str">
        <f>HYPERLINK("https://www.crowdgames.ru/collection/efir-kamni", "Эфир-камни")</f>
        <v>Эфир-камни</v>
      </c>
      <c r="B144" s="51">
        <v>16404</v>
      </c>
      <c r="C144" s="78" t="s">
        <v>42</v>
      </c>
      <c r="D144" s="52">
        <v>3690</v>
      </c>
      <c r="E144" s="53">
        <f t="shared" si="22"/>
        <v>3690</v>
      </c>
      <c r="F144" s="57"/>
      <c r="G144" s="58">
        <f t="shared" ref="G144:G146" si="23">D144*F144</f>
        <v>0</v>
      </c>
      <c r="H144" s="55">
        <f t="shared" si="17"/>
        <v>0</v>
      </c>
      <c r="J144" s="8"/>
    </row>
    <row r="145" spans="1:22" ht="30" customHeight="1" x14ac:dyDescent="0.3">
      <c r="A145" s="74" t="str">
        <f>HYPERLINK("https://www.crowdgames.ru/collection/novinki-essena-2025", "Эхо времени")</f>
        <v>Эхо времени</v>
      </c>
      <c r="B145" s="51">
        <v>16436</v>
      </c>
      <c r="C145" s="78" t="s">
        <v>42</v>
      </c>
      <c r="D145" s="52">
        <v>4290</v>
      </c>
      <c r="E145" s="53">
        <f t="shared" si="22"/>
        <v>4290</v>
      </c>
      <c r="F145" s="54"/>
      <c r="G145" s="52">
        <f t="shared" si="23"/>
        <v>0</v>
      </c>
      <c r="H145" s="55">
        <f t="shared" si="17"/>
        <v>0</v>
      </c>
      <c r="J145" s="8"/>
    </row>
    <row r="146" spans="1:22" ht="30" customHeight="1" thickBot="1" x14ac:dyDescent="0.35">
      <c r="A146" s="74" t="str">
        <f>HYPERLINK("https://www.crowdgames.ru/collection/yami","Ями")</f>
        <v>Ями</v>
      </c>
      <c r="B146" s="51">
        <v>16330</v>
      </c>
      <c r="C146" s="78" t="s">
        <v>42</v>
      </c>
      <c r="D146" s="52">
        <v>2990</v>
      </c>
      <c r="E146" s="53">
        <f t="shared" si="22"/>
        <v>2990</v>
      </c>
      <c r="F146" s="61"/>
      <c r="G146" s="55">
        <f t="shared" si="23"/>
        <v>0</v>
      </c>
      <c r="H146" s="55">
        <f t="shared" si="17"/>
        <v>0</v>
      </c>
      <c r="J146" s="30"/>
      <c r="K146" s="31"/>
    </row>
    <row r="147" spans="1:22" ht="30.6" customHeight="1" thickBot="1" x14ac:dyDescent="0.35">
      <c r="A147" s="16" t="s">
        <v>46</v>
      </c>
      <c r="B147" s="34" t="s">
        <v>2</v>
      </c>
      <c r="C147" s="83" t="s">
        <v>28</v>
      </c>
      <c r="D147" s="17" t="s">
        <v>3</v>
      </c>
      <c r="E147" s="9" t="s">
        <v>4</v>
      </c>
      <c r="F147" s="1" t="s">
        <v>5</v>
      </c>
      <c r="G147" s="1" t="s">
        <v>6</v>
      </c>
      <c r="H147" s="1" t="s">
        <v>7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1:22" ht="30" customHeight="1" x14ac:dyDescent="0.3">
      <c r="A148" s="74" t="str">
        <f>HYPERLINK("https://www.crowdgames.ru/collection/shop/product/protektory-crowd-games-dlya-kart-41-63-mm","Протекторы 41 х 63 (60 мк, 100 шт.)")</f>
        <v>Протекторы 41 х 63 (60 мк, 100 шт.)</v>
      </c>
      <c r="B148" s="53">
        <v>2009</v>
      </c>
      <c r="C148" s="84" t="s">
        <v>42</v>
      </c>
      <c r="D148" s="53">
        <v>159</v>
      </c>
      <c r="E148" s="53">
        <f t="shared" ref="E148:E166" si="24">D148*(1-$D$183)</f>
        <v>159</v>
      </c>
      <c r="F148" s="5"/>
      <c r="G148" s="4">
        <f>D148*F148</f>
        <v>0</v>
      </c>
      <c r="H148" s="4">
        <f t="shared" ref="H148:H166" si="25">F148*E148</f>
        <v>0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</row>
    <row r="149" spans="1:22" s="19" customFormat="1" ht="30" customHeight="1" x14ac:dyDescent="0.3">
      <c r="A149" s="74" t="str">
        <f>HYPERLINK("https://www.crowdgames.ru/collection/shop/product/protektory-crowd-games-dlya-kart-44-68-mm","Протекторы 44 х 67 (60 мк, 100 шт.)")</f>
        <v>Протекторы 44 х 67 (60 мк, 100 шт.)</v>
      </c>
      <c r="B149" s="53">
        <v>2007</v>
      </c>
      <c r="C149" s="84" t="s">
        <v>42</v>
      </c>
      <c r="D149" s="53">
        <v>159</v>
      </c>
      <c r="E149" s="53">
        <f t="shared" si="24"/>
        <v>159</v>
      </c>
      <c r="F149" s="5"/>
      <c r="G149" s="4">
        <f t="shared" ref="G149:G157" si="26">D149*F149</f>
        <v>0</v>
      </c>
      <c r="H149" s="4">
        <f t="shared" si="25"/>
        <v>0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</row>
    <row r="150" spans="1:22" s="12" customFormat="1" ht="30" customHeight="1" x14ac:dyDescent="0.3">
      <c r="A150" s="74" t="str">
        <f>HYPERLINK("https://www.crowdgames.ru/collection/shop/product/protektory-crowd-games-dlya-kart-54-h-80-mm-60-mk-100-sht","Протекторы 54 х 80 (60 мк, 100 шт.)")</f>
        <v>Протекторы 54 х 80 (60 мк, 100 шт.)</v>
      </c>
      <c r="B150" s="53">
        <v>2024</v>
      </c>
      <c r="C150" s="84" t="s">
        <v>42</v>
      </c>
      <c r="D150" s="53">
        <v>159</v>
      </c>
      <c r="E150" s="53">
        <f t="shared" ref="E150" si="27">D150*(1-$D$183)</f>
        <v>159</v>
      </c>
      <c r="F150" s="5"/>
      <c r="G150" s="4">
        <f t="shared" ref="G150" si="28">D150*F150</f>
        <v>0</v>
      </c>
      <c r="H150" s="4">
        <f t="shared" ref="H150" si="29">F150*E150</f>
        <v>0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</row>
    <row r="151" spans="1:22" s="12" customFormat="1" ht="30" customHeight="1" x14ac:dyDescent="0.3">
      <c r="A151" s="74" t="str">
        <f>HYPERLINK("https://www.crowdgames.ru/collection/shop/product/protektory-crowd-games-dlya-kart-56-x-87-mm","Протекторы 56 х 87 (60 мк, 100 шт.)")</f>
        <v>Протекторы 56 х 87 (60 мк, 100 шт.)</v>
      </c>
      <c r="B151" s="53">
        <v>2011</v>
      </c>
      <c r="C151" s="84" t="s">
        <v>42</v>
      </c>
      <c r="D151" s="53">
        <v>159</v>
      </c>
      <c r="E151" s="53">
        <f t="shared" si="24"/>
        <v>159</v>
      </c>
      <c r="F151" s="5"/>
      <c r="G151" s="4">
        <f t="shared" si="26"/>
        <v>0</v>
      </c>
      <c r="H151" s="4">
        <f t="shared" si="25"/>
        <v>0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</row>
    <row r="152" spans="1:22" s="12" customFormat="1" ht="30" customHeight="1" x14ac:dyDescent="0.3">
      <c r="A152" s="74" t="str">
        <f>HYPERLINK("https://www.crowdgames.ru/collection/shop/product/protektory-crowd-games-dlya-kart-575-x-89-mm","Протекторы 57,5 х 89 (60 мк, 100 шт.)")</f>
        <v>Протекторы 57,5 х 89 (60 мк, 100 шт.)</v>
      </c>
      <c r="B152" s="53">
        <v>2013</v>
      </c>
      <c r="C152" s="84" t="s">
        <v>42</v>
      </c>
      <c r="D152" s="53">
        <v>159</v>
      </c>
      <c r="E152" s="53">
        <f t="shared" si="24"/>
        <v>159</v>
      </c>
      <c r="F152" s="5"/>
      <c r="G152" s="4">
        <f t="shared" si="26"/>
        <v>0</v>
      </c>
      <c r="H152" s="4">
        <f t="shared" si="25"/>
        <v>0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</row>
    <row r="153" spans="1:22" s="12" customFormat="1" ht="30" customHeight="1" x14ac:dyDescent="0.3">
      <c r="A153" s="74" t="str">
        <f>HYPERLINK("https://www.crowdgames.ru/collection/shop/product/protektory-crowd-games-dlya-kart-59-x-92-mm","Протекторы 59 х 92 (60 мк, 100 шт.)")</f>
        <v>Протекторы 59 х 92 (60 мк, 100 шт.)</v>
      </c>
      <c r="B153" s="53">
        <v>2008</v>
      </c>
      <c r="C153" s="84" t="s">
        <v>42</v>
      </c>
      <c r="D153" s="53">
        <v>159</v>
      </c>
      <c r="E153" s="53">
        <f t="shared" si="24"/>
        <v>159</v>
      </c>
      <c r="F153" s="5"/>
      <c r="G153" s="4">
        <f t="shared" si="26"/>
        <v>0</v>
      </c>
      <c r="H153" s="4">
        <f t="shared" si="25"/>
        <v>0</v>
      </c>
    </row>
    <row r="154" spans="1:22" s="12" customFormat="1" ht="30" customHeight="1" x14ac:dyDescent="0.3">
      <c r="A154" s="74" t="str">
        <f>HYPERLINK("https://www.crowdgames.ru/collection/shop/product/protektory-crowd-games-dlya-kart-63-88-mm","Протекторы 63 х 88 (60 мк, 100 шт.)")</f>
        <v>Протекторы 63 х 88 (60 мк, 100 шт.)</v>
      </c>
      <c r="B154" s="53">
        <v>2006</v>
      </c>
      <c r="C154" s="84" t="s">
        <v>42</v>
      </c>
      <c r="D154" s="53">
        <v>159</v>
      </c>
      <c r="E154" s="53">
        <f t="shared" si="24"/>
        <v>159</v>
      </c>
      <c r="F154" s="5"/>
      <c r="G154" s="4">
        <f t="shared" si="26"/>
        <v>0</v>
      </c>
      <c r="H154" s="4">
        <f t="shared" si="25"/>
        <v>0</v>
      </c>
    </row>
    <row r="155" spans="1:22" s="12" customFormat="1" ht="30" customHeight="1" x14ac:dyDescent="0.3">
      <c r="A155" s="74" t="str">
        <f>HYPERLINK("https://www.crowdgames.ru/collection/shop/product/protektory-crowd-games-dlya-kart-70-x-100-mm","Протекторы 70 х 110 (60 мк, 100 шт.)")</f>
        <v>Протекторы 70 х 110 (60 мк, 100 шт.)</v>
      </c>
      <c r="B155" s="53">
        <v>2018</v>
      </c>
      <c r="C155" s="84" t="s">
        <v>42</v>
      </c>
      <c r="D155" s="53">
        <v>189</v>
      </c>
      <c r="E155" s="53">
        <f t="shared" si="24"/>
        <v>189</v>
      </c>
      <c r="F155" s="5"/>
      <c r="G155" s="4">
        <f t="shared" si="26"/>
        <v>0</v>
      </c>
      <c r="H155" s="4">
        <f t="shared" si="25"/>
        <v>0</v>
      </c>
    </row>
    <row r="156" spans="1:22" s="12" customFormat="1" ht="30" customHeight="1" x14ac:dyDescent="0.3">
      <c r="A156" s="74" t="str">
        <f>HYPERLINK("https://www.crowdgames.ru/collection/shop/product/protektory-crowd-games-dlya-kart-70-x-120-mm","Протекторы 70 х 120  (100мк, 50 шт.)")</f>
        <v>Протекторы 70 х 120  (100мк, 50 шт.)</v>
      </c>
      <c r="B156" s="53">
        <v>2017</v>
      </c>
      <c r="C156" s="84" t="s">
        <v>45</v>
      </c>
      <c r="D156" s="53">
        <v>189</v>
      </c>
      <c r="E156" s="53">
        <f t="shared" si="24"/>
        <v>189</v>
      </c>
      <c r="F156" s="5"/>
      <c r="G156" s="4">
        <f>D156*F156</f>
        <v>0</v>
      </c>
      <c r="H156" s="4">
        <f t="shared" si="25"/>
        <v>0</v>
      </c>
    </row>
    <row r="157" spans="1:22" s="12" customFormat="1" ht="30" customHeight="1" x14ac:dyDescent="0.3">
      <c r="A157" s="74" t="str">
        <f>HYPERLINK("https://www.crowdgames.ru/collection/shop/product/protektory-crowd-games-dlya-kart-80-x-120-mm","Протекторы 80 х 120 (60 мк, 100 шт.)")</f>
        <v>Протекторы 80 х 120 (60 мк, 100 шт.)</v>
      </c>
      <c r="B157" s="53">
        <v>2015</v>
      </c>
      <c r="C157" s="84" t="s">
        <v>42</v>
      </c>
      <c r="D157" s="53">
        <v>189</v>
      </c>
      <c r="E157" s="53">
        <f t="shared" si="24"/>
        <v>189</v>
      </c>
      <c r="F157" s="5"/>
      <c r="G157" s="4">
        <f t="shared" si="26"/>
        <v>0</v>
      </c>
      <c r="H157" s="4">
        <f t="shared" si="25"/>
        <v>0</v>
      </c>
    </row>
    <row r="158" spans="1:22" ht="30" customHeight="1" x14ac:dyDescent="0.3">
      <c r="A158" s="74" t="str">
        <f>HYPERLINK("https://www.crowdgames.ru/collection/shop/product/protektory-CG-premium-41x63","Протекторы 41 х 63 Premium (100мк, 50 шт.)")</f>
        <v>Протекторы 41 х 63 Premium (100мк, 50 шт.)</v>
      </c>
      <c r="B158" s="53">
        <v>2005</v>
      </c>
      <c r="C158" s="84" t="s">
        <v>42</v>
      </c>
      <c r="D158" s="53">
        <v>159</v>
      </c>
      <c r="E158" s="53">
        <f t="shared" si="24"/>
        <v>159</v>
      </c>
      <c r="F158" s="5"/>
      <c r="G158" s="4">
        <f t="shared" ref="G158:G165" si="30">D158*F158</f>
        <v>0</v>
      </c>
      <c r="H158" s="4">
        <f t="shared" si="25"/>
        <v>0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</row>
    <row r="159" spans="1:22" s="12" customFormat="1" ht="30" customHeight="1" x14ac:dyDescent="0.3">
      <c r="A159" s="74" t="str">
        <f>HYPERLINK("https://www.crowdgames.ru/collection/shop/product/protektory-CG-premium-44x68","Протекторы 44 х 67 Premium (100мк, 50 шт.)")</f>
        <v>Протекторы 44 х 67 Premium (100мк, 50 шт.)</v>
      </c>
      <c r="B159" s="53">
        <v>2003</v>
      </c>
      <c r="C159" s="84" t="s">
        <v>42</v>
      </c>
      <c r="D159" s="53">
        <v>159</v>
      </c>
      <c r="E159" s="53">
        <f t="shared" si="24"/>
        <v>159</v>
      </c>
      <c r="F159" s="5"/>
      <c r="G159" s="4">
        <f t="shared" si="30"/>
        <v>0</v>
      </c>
      <c r="H159" s="4">
        <f t="shared" si="25"/>
        <v>0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</row>
    <row r="160" spans="1:22" s="12" customFormat="1" ht="30" customHeight="1" x14ac:dyDescent="0.3">
      <c r="A160" s="74" t="str">
        <f>HYPERLINK("https://www.crowdgames.ru/collection/shop/product/protektory-crowd-games-premium-dlya-kart-54-80-mm-100-mk-50-sht","Протекторы 54 х 80 Premium (100мк, 50 шт.)")</f>
        <v>Протекторы 54 х 80 Premium (100мк, 50 шт.)</v>
      </c>
      <c r="B160" s="53">
        <v>2025</v>
      </c>
      <c r="C160" s="84" t="s">
        <v>42</v>
      </c>
      <c r="D160" s="53">
        <v>159</v>
      </c>
      <c r="E160" s="53">
        <f t="shared" ref="E160" si="31">D160*(1-$D$183)</f>
        <v>159</v>
      </c>
      <c r="F160" s="5"/>
      <c r="G160" s="4">
        <f t="shared" ref="G160" si="32">D160*F160</f>
        <v>0</v>
      </c>
      <c r="H160" s="4">
        <f t="shared" ref="H160" si="33">F160*E160</f>
        <v>0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</row>
    <row r="161" spans="1:22" s="12" customFormat="1" ht="30" customHeight="1" x14ac:dyDescent="0.3">
      <c r="A161" s="74" t="str">
        <f>HYPERLINK("https://www.crowdgames.ru/collection/shop/product/protektory-crowd-games-premium-dlya-kart-56-x-87-mm","Протекторы 56 х 87 Premium (100мк, 50 шт.)")</f>
        <v>Протекторы 56 х 87 Premium (100мк, 50 шт.)</v>
      </c>
      <c r="B161" s="53">
        <v>2010</v>
      </c>
      <c r="C161" s="84" t="s">
        <v>42</v>
      </c>
      <c r="D161" s="53">
        <v>159</v>
      </c>
      <c r="E161" s="53">
        <f t="shared" si="24"/>
        <v>159</v>
      </c>
      <c r="F161" s="5"/>
      <c r="G161" s="4">
        <f t="shared" si="30"/>
        <v>0</v>
      </c>
      <c r="H161" s="4">
        <f t="shared" si="25"/>
        <v>0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</row>
    <row r="162" spans="1:22" s="12" customFormat="1" ht="30" customHeight="1" x14ac:dyDescent="0.3">
      <c r="A162" s="74" t="str">
        <f>HYPERLINK("https://www.crowdgames.ru/collection/shop/product/protektory-crowd-games-premium-dlya-kart-575-x-89-mm","Протекторы 57,5 х 89 Premium (100мк, 50 шт.)")</f>
        <v>Протекторы 57,5 х 89 Premium (100мк, 50 шт.)</v>
      </c>
      <c r="B162" s="53">
        <v>2012</v>
      </c>
      <c r="C162" s="84" t="s">
        <v>42</v>
      </c>
      <c r="D162" s="53">
        <v>159</v>
      </c>
      <c r="E162" s="53">
        <f t="shared" si="24"/>
        <v>159</v>
      </c>
      <c r="F162" s="5"/>
      <c r="G162" s="4">
        <f t="shared" si="30"/>
        <v>0</v>
      </c>
      <c r="H162" s="4">
        <f t="shared" si="25"/>
        <v>0</v>
      </c>
    </row>
    <row r="163" spans="1:22" s="12" customFormat="1" ht="30" customHeight="1" x14ac:dyDescent="0.3">
      <c r="A163" s="74" t="str">
        <f>HYPERLINK("https://www.crowdgames.ru/collection/shop/product/protektory-CG-premium-59x92","Протекторы 59 х 92 Premium (100мк, 50 шт.)")</f>
        <v>Протекторы 59 х 92 Premium (100мк, 50 шт.)</v>
      </c>
      <c r="B163" s="53">
        <v>2004</v>
      </c>
      <c r="C163" s="84" t="s">
        <v>42</v>
      </c>
      <c r="D163" s="53">
        <v>159</v>
      </c>
      <c r="E163" s="53">
        <f t="shared" si="24"/>
        <v>159</v>
      </c>
      <c r="F163" s="5"/>
      <c r="G163" s="4">
        <f t="shared" si="30"/>
        <v>0</v>
      </c>
      <c r="H163" s="4">
        <f t="shared" si="25"/>
        <v>0</v>
      </c>
    </row>
    <row r="164" spans="1:22" s="12" customFormat="1" ht="30" customHeight="1" x14ac:dyDescent="0.3">
      <c r="A164" s="74" t="str">
        <f>HYPERLINK("https://www.crowdgames.ru/collection/shop/product/protektory-CG-premium-63x88","Протекторы 63 х 88 Premium (100мк, 50 шт.)")</f>
        <v>Протекторы 63 х 88 Premium (100мк, 50 шт.)</v>
      </c>
      <c r="B164" s="53">
        <v>2002</v>
      </c>
      <c r="C164" s="84" t="s">
        <v>42</v>
      </c>
      <c r="D164" s="53">
        <v>159</v>
      </c>
      <c r="E164" s="53">
        <f t="shared" si="24"/>
        <v>159</v>
      </c>
      <c r="F164" s="5"/>
      <c r="G164" s="4">
        <f t="shared" si="30"/>
        <v>0</v>
      </c>
      <c r="H164" s="4">
        <f t="shared" si="25"/>
        <v>0</v>
      </c>
    </row>
    <row r="165" spans="1:22" s="12" customFormat="1" ht="30" customHeight="1" x14ac:dyDescent="0.3">
      <c r="A165" s="74" t="str">
        <f>HYPERLINK("https://www.crowdgames.ru/collection/shop/product/protektory-crowd-games-premium-dlya-kart-70-x-120-mm","Протекторы 70 х 120 Premium (100мк, 50 шт.)")</f>
        <v>Протекторы 70 х 120 Premium (100мк, 50 шт.)</v>
      </c>
      <c r="B165" s="53">
        <v>2016</v>
      </c>
      <c r="C165" s="84" t="s">
        <v>42</v>
      </c>
      <c r="D165" s="53">
        <v>189</v>
      </c>
      <c r="E165" s="53">
        <f t="shared" si="24"/>
        <v>189</v>
      </c>
      <c r="F165" s="5"/>
      <c r="G165" s="4">
        <f t="shared" si="30"/>
        <v>0</v>
      </c>
      <c r="H165" s="4">
        <f t="shared" si="25"/>
        <v>0</v>
      </c>
    </row>
    <row r="166" spans="1:22" s="12" customFormat="1" ht="30" customHeight="1" thickBot="1" x14ac:dyDescent="0.35">
      <c r="A166" s="74" t="str">
        <f>HYPERLINK("https://www.crowdgames.ru/collection/shop/product/protektory-crowd-games-premium-dlya-kart-80-x-120-mm","Протекторы 80 х 120 Premium (100мк, 50 шт.)")</f>
        <v>Протекторы 80 х 120 Premium (100мк, 50 шт.)</v>
      </c>
      <c r="B166" s="53">
        <v>2014</v>
      </c>
      <c r="C166" s="84" t="s">
        <v>42</v>
      </c>
      <c r="D166" s="53">
        <v>189</v>
      </c>
      <c r="E166" s="53">
        <f t="shared" si="24"/>
        <v>189</v>
      </c>
      <c r="F166" s="5"/>
      <c r="G166" s="4">
        <f t="shared" ref="G166" si="34">D166*F166</f>
        <v>0</v>
      </c>
      <c r="H166" s="4">
        <f t="shared" si="25"/>
        <v>0</v>
      </c>
    </row>
    <row r="167" spans="1:22" s="12" customFormat="1" ht="30" customHeight="1" thickBot="1" x14ac:dyDescent="0.35">
      <c r="A167" s="16" t="s">
        <v>19</v>
      </c>
      <c r="B167" s="34" t="s">
        <v>2</v>
      </c>
      <c r="C167" s="83" t="s">
        <v>28</v>
      </c>
      <c r="D167" s="17" t="s">
        <v>3</v>
      </c>
      <c r="E167" s="9" t="s">
        <v>4</v>
      </c>
      <c r="F167" s="1" t="s">
        <v>5</v>
      </c>
      <c r="G167" s="1" t="s">
        <v>6</v>
      </c>
      <c r="H167" s="1" t="s">
        <v>7</v>
      </c>
    </row>
    <row r="168" spans="1:22" ht="30" customHeight="1" x14ac:dyDescent="0.3">
      <c r="A168" s="74" t="str">
        <f>HYPERLINK("https://www.crowdgames.ru/collection/shop/product/bashnya-dlya-kubikov-chyornyy-barhat", "Башня для кубиков на магнитах «Чёрный бархат»")</f>
        <v>Башня для кубиков на магнитах «Чёрный бархат»</v>
      </c>
      <c r="B168" s="53" t="s">
        <v>29</v>
      </c>
      <c r="C168" s="78" t="s">
        <v>42</v>
      </c>
      <c r="D168" s="53">
        <v>1450</v>
      </c>
      <c r="E168" s="53">
        <f t="shared" ref="E168:E181" si="35">D168*(1-$D$183)</f>
        <v>1450</v>
      </c>
      <c r="F168" s="5"/>
      <c r="G168" s="4">
        <f t="shared" ref="G168:G182" si="36">D168*F168</f>
        <v>0</v>
      </c>
      <c r="H168" s="4">
        <f t="shared" ref="H168:H182" si="37">F168*E168</f>
        <v>0</v>
      </c>
      <c r="I168" s="20"/>
      <c r="J168" s="20"/>
      <c r="K168" s="20"/>
      <c r="L168" s="75"/>
      <c r="M168" s="75"/>
      <c r="N168" s="75"/>
      <c r="O168" s="75"/>
      <c r="P168" s="75"/>
      <c r="Q168" s="75"/>
      <c r="R168" s="75"/>
      <c r="S168" s="75"/>
      <c r="T168" s="20"/>
      <c r="U168" s="20"/>
      <c r="V168" s="20"/>
    </row>
    <row r="169" spans="1:22" ht="30" customHeight="1" x14ac:dyDescent="0.3">
      <c r="A169" s="74" t="str">
        <f>HYPERLINK("https://www.crowdgames.ru/collection/shop/product/days-trey-crowd-games-biryuzovyy", "Дайс-трей Crowd Games 2025")</f>
        <v>Дайс-трей Crowd Games 2025</v>
      </c>
      <c r="B169" s="53" t="s">
        <v>40</v>
      </c>
      <c r="C169" s="78" t="s">
        <v>42</v>
      </c>
      <c r="D169" s="53">
        <v>650</v>
      </c>
      <c r="E169" s="53">
        <f t="shared" si="35"/>
        <v>650</v>
      </c>
      <c r="F169" s="5"/>
      <c r="G169" s="4">
        <f t="shared" si="36"/>
        <v>0</v>
      </c>
      <c r="H169" s="4">
        <f t="shared" si="37"/>
        <v>0</v>
      </c>
      <c r="I169" s="20"/>
      <c r="J169" s="20"/>
      <c r="K169" s="20"/>
      <c r="L169" s="75"/>
      <c r="M169" s="75"/>
      <c r="N169" s="75"/>
      <c r="O169" s="75"/>
      <c r="P169" s="75"/>
      <c r="Q169" s="75"/>
      <c r="R169" s="75"/>
      <c r="S169" s="75"/>
      <c r="T169" s="20"/>
      <c r="U169" s="20"/>
      <c r="V169" s="20"/>
    </row>
    <row r="170" spans="1:22" ht="30" customHeight="1" x14ac:dyDescent="0.3">
      <c r="A170" s="74" t="str">
        <f>HYPERLINK("https://www.crowdgames.ru/collection/shop/product/meshochek-dlya-komponentov-nastolnyh-igr", "Мешочек (Чёрный)")</f>
        <v>Мешочек (Чёрный)</v>
      </c>
      <c r="B170" s="53" t="s">
        <v>30</v>
      </c>
      <c r="C170" s="78" t="s">
        <v>42</v>
      </c>
      <c r="D170" s="53">
        <v>400</v>
      </c>
      <c r="E170" s="53">
        <f t="shared" si="35"/>
        <v>400</v>
      </c>
      <c r="F170" s="5"/>
      <c r="G170" s="4">
        <f t="shared" si="36"/>
        <v>0</v>
      </c>
      <c r="H170" s="4">
        <f t="shared" si="37"/>
        <v>0</v>
      </c>
      <c r="I170" s="20"/>
      <c r="J170" s="20"/>
      <c r="K170" s="20"/>
      <c r="L170" s="75"/>
      <c r="M170" s="75"/>
      <c r="N170" s="75"/>
      <c r="O170" s="75"/>
      <c r="P170" s="75"/>
      <c r="Q170" s="75"/>
      <c r="R170" s="75"/>
      <c r="S170" s="75"/>
      <c r="T170" s="20"/>
      <c r="U170" s="20"/>
      <c r="V170" s="20"/>
    </row>
    <row r="171" spans="1:22" ht="30" customHeight="1" x14ac:dyDescent="0.3">
      <c r="A171" s="74" t="str">
        <f>HYPERLINK("https://www.crowdgames.ru/collection/shop/product/modulnyy-organayzer-dlya-nastolnyh-igr", "Модульный органайзер для настольных игр")</f>
        <v>Модульный органайзер для настольных игр</v>
      </c>
      <c r="B171" s="53" t="s">
        <v>31</v>
      </c>
      <c r="C171" s="78" t="s">
        <v>42</v>
      </c>
      <c r="D171" s="53">
        <v>1490</v>
      </c>
      <c r="E171" s="53">
        <f t="shared" si="35"/>
        <v>1490</v>
      </c>
      <c r="F171" s="5"/>
      <c r="G171" s="4">
        <f t="shared" si="36"/>
        <v>0</v>
      </c>
      <c r="H171" s="4">
        <f t="shared" si="37"/>
        <v>0</v>
      </c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</row>
    <row r="172" spans="1:22" ht="30" customHeight="1" x14ac:dyDescent="0.3">
      <c r="A172" s="74" t="str">
        <f>HYPERLINK("https://www.crowdgames.ru/collection/shop/product/nabor-universalnyh-resursov-glina-dlya-nastolnyh-igr", "Набор универсальных ресурсов «Глина»")</f>
        <v>Набор универсальных ресурсов «Глина»</v>
      </c>
      <c r="B172" s="53" t="s">
        <v>32</v>
      </c>
      <c r="C172" s="78" t="s">
        <v>42</v>
      </c>
      <c r="D172" s="53">
        <v>390</v>
      </c>
      <c r="E172" s="53">
        <f t="shared" si="35"/>
        <v>390</v>
      </c>
      <c r="F172" s="5"/>
      <c r="G172" s="4">
        <f t="shared" si="36"/>
        <v>0</v>
      </c>
      <c r="H172" s="4">
        <f t="shared" si="37"/>
        <v>0</v>
      </c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</row>
    <row r="173" spans="1:22" ht="30" customHeight="1" x14ac:dyDescent="0.3">
      <c r="A173" s="74" t="str">
        <f>HYPERLINK("https://www.crowdgames.ru/collection/shop/product/nabor-universalnyh-resursov-derevo-dlya-nastolnyh-igr", "Набор универсальных ресурсов «Дерево»")</f>
        <v>Набор универсальных ресурсов «Дерево»</v>
      </c>
      <c r="B173" s="53" t="s">
        <v>33</v>
      </c>
      <c r="C173" s="78" t="s">
        <v>42</v>
      </c>
      <c r="D173" s="53">
        <v>390</v>
      </c>
      <c r="E173" s="53">
        <f t="shared" si="35"/>
        <v>390</v>
      </c>
      <c r="F173" s="5"/>
      <c r="G173" s="4">
        <f t="shared" si="36"/>
        <v>0</v>
      </c>
      <c r="H173" s="4">
        <f t="shared" si="37"/>
        <v>0</v>
      </c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</row>
    <row r="174" spans="1:22" ht="30" customHeight="1" x14ac:dyDescent="0.3">
      <c r="A174" s="74" t="str">
        <f>HYPERLINK("https://www.crowdgames.ru/collection/shop/product/nabor-universalnyh-resursov-zoloto-dlya-nastolnyh-igr", "Набор универсальных ресурсов «Золото»")</f>
        <v>Набор универсальных ресурсов «Золото»</v>
      </c>
      <c r="B174" s="53" t="s">
        <v>34</v>
      </c>
      <c r="C174" s="78" t="s">
        <v>42</v>
      </c>
      <c r="D174" s="53">
        <v>390</v>
      </c>
      <c r="E174" s="53">
        <f t="shared" si="35"/>
        <v>390</v>
      </c>
      <c r="F174" s="5"/>
      <c r="G174" s="4">
        <f t="shared" si="36"/>
        <v>0</v>
      </c>
      <c r="H174" s="4">
        <f t="shared" si="37"/>
        <v>0</v>
      </c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</row>
    <row r="175" spans="1:22" ht="30" customHeight="1" x14ac:dyDescent="0.3">
      <c r="A175" s="74" t="str">
        <f>HYPERLINK("https://www.crowdgames.ru/collection/shop/product/nabor-universalnyh-resursov-kamen-dlya-nastolnyh-igr", "Набор универсальных ресурсов «Камень»")</f>
        <v>Набор универсальных ресурсов «Камень»</v>
      </c>
      <c r="B175" s="53" t="s">
        <v>35</v>
      </c>
      <c r="C175" s="78" t="s">
        <v>42</v>
      </c>
      <c r="D175" s="53">
        <v>390</v>
      </c>
      <c r="E175" s="53">
        <f t="shared" si="35"/>
        <v>390</v>
      </c>
      <c r="F175" s="5"/>
      <c r="G175" s="4">
        <f t="shared" si="36"/>
        <v>0</v>
      </c>
      <c r="H175" s="4">
        <f t="shared" si="37"/>
        <v>0</v>
      </c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</row>
    <row r="176" spans="1:22" ht="30" customHeight="1" x14ac:dyDescent="0.3">
      <c r="A176" s="74" t="str">
        <f>HYPERLINK("https://www.crowdgames.ru/collection/shop/product/nabor-universalnyh-resursov-pshenitsa-dlya-nastolnyh-igr", "Набор универсальных ресурсов «Пшеница»")</f>
        <v>Набор универсальных ресурсов «Пшеница»</v>
      </c>
      <c r="B176" s="53" t="s">
        <v>36</v>
      </c>
      <c r="C176" s="78" t="s">
        <v>42</v>
      </c>
      <c r="D176" s="53">
        <v>390</v>
      </c>
      <c r="E176" s="53">
        <f t="shared" si="35"/>
        <v>390</v>
      </c>
      <c r="F176" s="5"/>
      <c r="G176" s="4">
        <f t="shared" si="36"/>
        <v>0</v>
      </c>
      <c r="H176" s="4">
        <f t="shared" si="37"/>
        <v>0</v>
      </c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</row>
    <row r="177" spans="1:19" ht="30" customHeight="1" x14ac:dyDescent="0.3">
      <c r="A177" s="74" t="str">
        <f>HYPERLINK("https://www.crowdgames.ru/collection/shop/product/raznozvetnye-akrilovye-markery-dlya-nastolnyh-igr", "Разноцветные маркеры для настольных игр")</f>
        <v>Разноцветные маркеры для настольных игр</v>
      </c>
      <c r="B177" s="53" t="s">
        <v>26</v>
      </c>
      <c r="C177" s="78" t="s">
        <v>42</v>
      </c>
      <c r="D177" s="53">
        <v>169</v>
      </c>
      <c r="E177" s="53">
        <f t="shared" si="35"/>
        <v>169</v>
      </c>
      <c r="F177" s="5"/>
      <c r="G177" s="4">
        <f t="shared" ref="G177" si="38">D177*F177</f>
        <v>0</v>
      </c>
      <c r="H177" s="4">
        <f t="shared" si="37"/>
        <v>0</v>
      </c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</row>
    <row r="178" spans="1:19" ht="30" customHeight="1" x14ac:dyDescent="0.3">
      <c r="A178" s="74" t="str">
        <f>HYPERLINK("https://www.crowdgames.ru/collection/shop/product/raznotsvetnye-kristally-dlya-nastolnyh-igr", "Разноцветные кристаллы для настольных игр")</f>
        <v>Разноцветные кристаллы для настольных игр</v>
      </c>
      <c r="B178" s="53" t="s">
        <v>25</v>
      </c>
      <c r="C178" s="78" t="s">
        <v>42</v>
      </c>
      <c r="D178" s="53">
        <v>450</v>
      </c>
      <c r="E178" s="53">
        <f t="shared" si="35"/>
        <v>450</v>
      </c>
      <c r="F178" s="5"/>
      <c r="G178" s="4">
        <f t="shared" si="36"/>
        <v>0</v>
      </c>
      <c r="H178" s="4">
        <f t="shared" si="37"/>
        <v>0</v>
      </c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</row>
    <row r="179" spans="1:19" ht="30" customHeight="1" x14ac:dyDescent="0.3">
      <c r="A179" s="74" t="str">
        <f>HYPERLINK("https://www.crowdgames.ru/collection/shop/product/rezinka-dlya-nastolnyh-igr", "Резинка для настольных игр (Жёлтая)")</f>
        <v>Резинка для настольных игр (Жёлтая)</v>
      </c>
      <c r="B179" s="53" t="s">
        <v>37</v>
      </c>
      <c r="C179" s="84" t="s">
        <v>42</v>
      </c>
      <c r="D179" s="53">
        <v>50</v>
      </c>
      <c r="E179" s="53">
        <f t="shared" si="35"/>
        <v>50</v>
      </c>
      <c r="F179" s="5"/>
      <c r="G179" s="4">
        <f t="shared" si="36"/>
        <v>0</v>
      </c>
      <c r="H179" s="4">
        <f t="shared" si="37"/>
        <v>0</v>
      </c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</row>
    <row r="180" spans="1:19" ht="30" customHeight="1" x14ac:dyDescent="0.3">
      <c r="A180" s="74" t="str">
        <f>HYPERLINK("https://www.crowdgames.ru/collection/shop/product/rezinka-dlya-nastolnyh-igr", "Резинка для настольных игр (Красная)")</f>
        <v>Резинка для настольных игр (Красная)</v>
      </c>
      <c r="B180" s="53" t="s">
        <v>38</v>
      </c>
      <c r="C180" s="84" t="s">
        <v>42</v>
      </c>
      <c r="D180" s="53">
        <v>50</v>
      </c>
      <c r="E180" s="53">
        <f t="shared" si="35"/>
        <v>50</v>
      </c>
      <c r="F180" s="5"/>
      <c r="G180" s="4">
        <f t="shared" si="36"/>
        <v>0</v>
      </c>
      <c r="H180" s="4">
        <f t="shared" si="37"/>
        <v>0</v>
      </c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</row>
    <row r="181" spans="1:19" ht="30" customHeight="1" x14ac:dyDescent="0.3">
      <c r="A181" s="74" t="str">
        <f>HYPERLINK("https://www.crowdgames.ru/collection/shop/product/rezinka-dlya-nastolnyh-igr", "Резинка для настольных игр (Синяя)")</f>
        <v>Резинка для настольных игр (Синяя)</v>
      </c>
      <c r="B181" s="53" t="s">
        <v>39</v>
      </c>
      <c r="C181" s="84" t="s">
        <v>42</v>
      </c>
      <c r="D181" s="53">
        <v>50</v>
      </c>
      <c r="E181" s="53">
        <f t="shared" si="35"/>
        <v>50</v>
      </c>
      <c r="F181" s="5"/>
      <c r="G181" s="4">
        <f t="shared" si="36"/>
        <v>0</v>
      </c>
      <c r="H181" s="4">
        <f t="shared" si="37"/>
        <v>0</v>
      </c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</row>
    <row r="182" spans="1:19" ht="30" customHeight="1" x14ac:dyDescent="0.3">
      <c r="A182" s="74" t="str">
        <f>HYPERLINK("https://www.crowdgames.ru/collection/shop/product/shopper-nesu-nastolki","Шоппер «Несу настолки»")</f>
        <v>Шоппер «Несу настолки»</v>
      </c>
      <c r="B182" s="53" t="s">
        <v>41</v>
      </c>
      <c r="C182" s="78" t="s">
        <v>42</v>
      </c>
      <c r="D182" s="53">
        <v>490</v>
      </c>
      <c r="E182" s="53">
        <f t="shared" ref="E182" si="39">D182*(1-$D$183)</f>
        <v>490</v>
      </c>
      <c r="F182" s="5"/>
      <c r="G182" s="4">
        <f t="shared" si="36"/>
        <v>0</v>
      </c>
      <c r="H182" s="4">
        <f t="shared" si="37"/>
        <v>0</v>
      </c>
    </row>
    <row r="183" spans="1:19" s="10" customFormat="1" ht="30" customHeight="1" x14ac:dyDescent="0.3">
      <c r="A183" s="13" t="s">
        <v>17</v>
      </c>
      <c r="B183" s="33"/>
      <c r="C183" s="76"/>
      <c r="D183" s="14">
        <f>IF(($G$183*0.6+$H$184+$G$187*0.6)&gt;=90000,0.4,IF(($G$183*0.625+$G$187*0.625+$H$184)&gt;=60000,0.375,IF(($G$183*0.65+$G$187*0.65+$H$184)&gt;=45000,0.35,IF(($G$183*0.675+$G$187*0.675+$H$184)&gt;=32500,0.325,IF(($G$183*0.7+$G$187*0.7+$H$184)&gt;=20000,0.3,0)))))</f>
        <v>0</v>
      </c>
      <c r="E183" s="15"/>
      <c r="F183" s="3" t="s">
        <v>18</v>
      </c>
      <c r="G183" s="1">
        <f>SUM(G4:G182)</f>
        <v>0</v>
      </c>
      <c r="H183" s="76">
        <f>SUM(H1:H182)</f>
        <v>0</v>
      </c>
      <c r="J183" s="8"/>
    </row>
    <row r="184" spans="1:19" ht="30" hidden="1" customHeight="1" x14ac:dyDescent="0.3">
      <c r="A184" s="21" t="s">
        <v>17</v>
      </c>
      <c r="B184" s="35"/>
      <c r="C184" s="1"/>
      <c r="D184" s="22">
        <f>IF(($G$183*0.6+$H$184+$G$187*0.6)&gt;=90000, 0.4, IF(($G$183*0.625+$G$187*0.625+$H$184)&gt;=60000, 0.375, IF(($G$183*0.65+$G$187*0.65+$H$184)&gt;=45000, 0.35,IF(($G$183*0.675+$G$187*0.675+$H$184)&gt;=32500, 0.325,IF(($G$183*0.7+$G$187*0.7+$H$184)&gt;=20000, 0.3,IF(($G$183*0.725+$G$187*0.725+$H$184)&gt;=15000, 0.3,IF(($G$183*0.75+$G$187*0.75+$H$184)&gt;=10000, 0.3, 0)))))))</f>
        <v>0</v>
      </c>
      <c r="E184" s="15"/>
      <c r="F184" s="3" t="s">
        <v>18</v>
      </c>
      <c r="G184" s="1"/>
      <c r="H184" s="1"/>
    </row>
    <row r="185" spans="1:19" ht="30" hidden="1" customHeight="1" x14ac:dyDescent="0.3">
      <c r="A185" s="23" t="s">
        <v>20</v>
      </c>
      <c r="B185" s="36"/>
      <c r="C185" s="1"/>
      <c r="D185" s="1" t="s">
        <v>3</v>
      </c>
      <c r="E185" s="18" t="s">
        <v>4</v>
      </c>
      <c r="F185" s="1" t="s">
        <v>5</v>
      </c>
      <c r="G185" s="1" t="s">
        <v>6</v>
      </c>
      <c r="H185" s="1" t="s">
        <v>7</v>
      </c>
    </row>
    <row r="186" spans="1:19" ht="30" hidden="1" customHeight="1" x14ac:dyDescent="0.3">
      <c r="A186" s="24"/>
      <c r="B186" s="37"/>
      <c r="C186" s="4"/>
      <c r="D186" s="4"/>
      <c r="E186" s="6"/>
      <c r="F186" s="5"/>
      <c r="G186" s="4"/>
      <c r="H186" s="4"/>
    </row>
    <row r="187" spans="1:19" ht="30" hidden="1" customHeight="1" x14ac:dyDescent="0.3">
      <c r="A187" s="25" t="s">
        <v>17</v>
      </c>
      <c r="B187" s="38"/>
      <c r="C187" s="76"/>
      <c r="D187" s="22">
        <f>IF(($G$183*0.6+$H$184+$G$187*0.6)&gt;=90000, 0.4, IF(($G$183*0.625+$G$187*0.625+$H$184)&gt;=60000, 0.375, IF(($G$183*0.65+$G$187*0.65+$H$184)&gt;=45000, 0.35,IF(($G$183*0.675+$G$187*0.675+$H$184)&gt;=32500, 0.325,IF(($G$183*0.7+$G$187*0.7+$H$184)&gt;=20000, 0.3,IF(($G$183*0.725+$G$187*0.725+$H$184)&gt;=15000, 0.3,IF(($G$183*0.75+$G$187*0.75+$H$184)&gt;=10000, 0.3, 0)))))))</f>
        <v>0</v>
      </c>
      <c r="E187" s="15"/>
      <c r="F187" s="3" t="s">
        <v>18</v>
      </c>
      <c r="G187" s="1">
        <f>SUM(G186:G186)</f>
        <v>0</v>
      </c>
      <c r="H187" s="76">
        <f>SUM(H186:H186)</f>
        <v>0</v>
      </c>
    </row>
    <row r="188" spans="1:19" s="19" customFormat="1" ht="30" customHeight="1" x14ac:dyDescent="0.3">
      <c r="A188" s="87" t="s">
        <v>21</v>
      </c>
      <c r="B188" s="88"/>
      <c r="C188" s="76"/>
      <c r="D188" s="88"/>
      <c r="E188" s="88"/>
      <c r="F188" s="88"/>
      <c r="G188" s="89"/>
      <c r="H188" s="76">
        <f>$G$183+$G$187+$G$184</f>
        <v>0</v>
      </c>
    </row>
    <row r="189" spans="1:19" ht="30" customHeight="1" x14ac:dyDescent="0.3">
      <c r="A189" s="26" t="s">
        <v>22</v>
      </c>
      <c r="B189" s="26"/>
      <c r="C189" s="26"/>
      <c r="D189" s="26"/>
      <c r="E189" s="26"/>
      <c r="F189" s="26"/>
      <c r="G189" s="26"/>
      <c r="H189" s="26">
        <f>H183+H187+H184</f>
        <v>0</v>
      </c>
    </row>
    <row r="190" spans="1:19" ht="30" customHeight="1" x14ac:dyDescent="0.3">
      <c r="A190" s="26" t="s">
        <v>23</v>
      </c>
      <c r="B190" s="26"/>
      <c r="C190" s="26"/>
      <c r="D190" s="26"/>
      <c r="E190" s="26"/>
      <c r="F190" s="26"/>
      <c r="G190" s="26"/>
      <c r="H190" s="26">
        <f>H188-H189</f>
        <v>0</v>
      </c>
    </row>
    <row r="191" spans="1:19" ht="19.95" customHeight="1" x14ac:dyDescent="0.3">
      <c r="A191" s="86" t="s">
        <v>24</v>
      </c>
      <c r="B191" s="86"/>
      <c r="C191" s="86"/>
      <c r="D191" s="86"/>
      <c r="E191" s="86"/>
      <c r="F191" s="86"/>
      <c r="G191" s="86"/>
      <c r="H191" s="86"/>
    </row>
    <row r="192" spans="1:19" ht="19.95" customHeight="1" x14ac:dyDescent="0.3">
      <c r="A192" s="86"/>
      <c r="B192" s="86"/>
      <c r="D192" s="86"/>
      <c r="E192" s="86"/>
      <c r="F192" s="86"/>
      <c r="G192" s="86"/>
      <c r="H192" s="86"/>
    </row>
    <row r="193" ht="30" customHeight="1" x14ac:dyDescent="0.3"/>
    <row r="194" ht="30" customHeight="1" x14ac:dyDescent="0.3"/>
    <row r="195" ht="16.05" customHeight="1" x14ac:dyDescent="0.3"/>
    <row r="196" ht="16.05" customHeight="1" x14ac:dyDescent="0.3"/>
    <row r="197" ht="16.05" customHeight="1" x14ac:dyDescent="0.3"/>
    <row r="198" ht="16.95" customHeight="1" x14ac:dyDescent="0.3"/>
  </sheetData>
  <sheetProtection algorithmName="SHA-512" hashValue="55o8SYmiSIJH85IWejCo7afJWn+bcvS6SYTTIQocAQIJVKDsvIUYsQXb2KBSjZHX4mML5/MLsPoYMk1421qN/g==" saltValue="+jGgAUZT3iZTsMsvuqniFQ==" spinCount="100000" sheet="1" objects="1" scenarios="1"/>
  <mergeCells count="5">
    <mergeCell ref="A1:H1"/>
    <mergeCell ref="A2:H2"/>
    <mergeCell ref="J26:K32"/>
    <mergeCell ref="J17:K19"/>
    <mergeCell ref="J16:K16"/>
  </mergeCells>
  <phoneticPr fontId="23" type="noConversion"/>
  <conditionalFormatting sqref="B156:G156 B157:E164">
    <cfRule type="cellIs" dxfId="8" priority="19" operator="equal">
      <formula>0</formula>
    </cfRule>
  </conditionalFormatting>
  <conditionalFormatting sqref="C148:C166 E148:G166">
    <cfRule type="cellIs" dxfId="7" priority="17" operator="equal">
      <formula>0</formula>
    </cfRule>
  </conditionalFormatting>
  <conditionalFormatting sqref="E4:H60 C8:C146 F61:H68 E61:E70 F69:F70 G69:G71 H69:H89 E71:F71 E72:G146 H91:H167 B165:G166">
    <cfRule type="cellIs" dxfId="6" priority="8" operator="equal">
      <formula>0</formula>
    </cfRule>
  </conditionalFormatting>
  <conditionalFormatting sqref="F148:G148 B148:E155 B168:H182 C184:C187 E184:H187 G193:H193 C193:C194 E194:H194">
    <cfRule type="cellIs" dxfId="5" priority="9" operator="equal">
      <formula>0</formula>
    </cfRule>
  </conditionalFormatting>
  <conditionalFormatting sqref="F90:H90">
    <cfRule type="cellIs" dxfId="4" priority="33" operator="equal">
      <formula>0</formula>
    </cfRule>
  </conditionalFormatting>
  <conditionalFormatting sqref="F147:H147">
    <cfRule type="cellIs" dxfId="3" priority="17045" operator="equal">
      <formula>0</formula>
    </cfRule>
  </conditionalFormatting>
  <conditionalFormatting sqref="F167:H167">
    <cfRule type="cellIs" dxfId="2" priority="4" operator="equal">
      <formula>0</formula>
    </cfRule>
  </conditionalFormatting>
  <conditionalFormatting sqref="G161">
    <cfRule type="cellIs" dxfId="1" priority="24761" operator="equal">
      <formula>0</formula>
    </cfRule>
  </conditionalFormatting>
  <conditionalFormatting sqref="G188">
    <cfRule type="cellIs" dxfId="0" priority="24586" operator="equal">
      <formula>0</formula>
    </cfRule>
  </conditionalFormatting>
  <dataValidations count="1">
    <dataValidation type="list" allowBlank="1" showInputMessage="1" showErrorMessage="1" promptTitle="Остаток" sqref="J3 J48:J49 J74:J75 J80:J84 J106:J107 J111 J114:J120 J123 J134:J142 J144:J183" xr:uid="{00000000-0002-0000-0000-000000000000}">
      <formula1>#REF!</formula1>
    </dataValidation>
  </dataValidations>
  <hyperlinks>
    <hyperlink ref="A75" r:id="rId1" display="https://www.crowdgames.ru/collection/pax-illuminaten-russkoe-izdanie" xr:uid="{00000000-0004-0000-0000-000002000000}"/>
  </hyperlinks>
  <pageMargins left="0.7" right="0.7" top="0.75" bottom="0.75" header="0.3" footer="0.3"/>
  <pageSetup paperSize="9" scale="5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Кондрахин Вячеслав</cp:lastModifiedBy>
  <cp:lastPrinted>2020-07-24T12:48:26Z</cp:lastPrinted>
  <dcterms:created xsi:type="dcterms:W3CDTF">2019-12-25T09:07:04Z</dcterms:created>
  <dcterms:modified xsi:type="dcterms:W3CDTF">2026-09-23T08:46:34Z</dcterms:modified>
</cp:coreProperties>
</file>