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AB8EF3B0-777C-48AB-A800-AAF8476EC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G162" i="1"/>
  <c r="F162" i="1"/>
  <c r="G158" i="1"/>
  <c r="F158" i="1"/>
  <c r="A158" i="1"/>
  <c r="G157" i="1"/>
  <c r="F157" i="1"/>
  <c r="A157" i="1"/>
  <c r="G156" i="1"/>
  <c r="F156" i="1"/>
  <c r="A156" i="1"/>
  <c r="G155" i="1"/>
  <c r="F155" i="1"/>
  <c r="A155" i="1"/>
  <c r="G154" i="1"/>
  <c r="F154" i="1"/>
  <c r="A154" i="1"/>
  <c r="G153" i="1"/>
  <c r="F153" i="1"/>
  <c r="A153" i="1"/>
  <c r="G152" i="1"/>
  <c r="F152" i="1"/>
  <c r="A152" i="1"/>
  <c r="G151" i="1"/>
  <c r="F151" i="1"/>
  <c r="A151" i="1"/>
  <c r="G150" i="1"/>
  <c r="F150" i="1"/>
  <c r="A150" i="1"/>
  <c r="G149" i="1"/>
  <c r="F149" i="1"/>
  <c r="A149" i="1"/>
  <c r="G148" i="1"/>
  <c r="F148" i="1"/>
  <c r="A148" i="1"/>
  <c r="G147" i="1"/>
  <c r="F147" i="1"/>
  <c r="A147" i="1"/>
  <c r="G146" i="1"/>
  <c r="F146" i="1"/>
  <c r="A146" i="1"/>
  <c r="G145" i="1"/>
  <c r="F145" i="1"/>
  <c r="A145" i="1"/>
  <c r="G144" i="1"/>
  <c r="F144" i="1"/>
  <c r="A144" i="1"/>
  <c r="G143" i="1"/>
  <c r="F143" i="1"/>
  <c r="A143" i="1"/>
  <c r="G142" i="1"/>
  <c r="F142" i="1"/>
  <c r="A142" i="1"/>
  <c r="G141" i="1"/>
  <c r="F141" i="1"/>
  <c r="F159" i="1" s="1"/>
  <c r="A141" i="1"/>
  <c r="G138" i="1"/>
  <c r="F138" i="1"/>
  <c r="A138" i="1"/>
  <c r="G137" i="1"/>
  <c r="F137" i="1"/>
  <c r="A137" i="1"/>
  <c r="G136" i="1"/>
  <c r="F136" i="1"/>
  <c r="A136" i="1"/>
  <c r="G135" i="1"/>
  <c r="F135" i="1"/>
  <c r="A135" i="1"/>
  <c r="G134" i="1"/>
  <c r="F134" i="1"/>
  <c r="A134" i="1"/>
  <c r="G133" i="1"/>
  <c r="F133" i="1"/>
  <c r="A133" i="1"/>
  <c r="F129" i="1"/>
  <c r="A129" i="1"/>
  <c r="F130" i="1"/>
  <c r="F128" i="1"/>
  <c r="A128" i="1"/>
  <c r="F123" i="1"/>
  <c r="F126" i="1"/>
  <c r="A126" i="1"/>
  <c r="F127" i="1"/>
  <c r="A127" i="1"/>
  <c r="F125" i="1"/>
  <c r="A125" i="1"/>
  <c r="F122" i="1"/>
  <c r="A122" i="1"/>
  <c r="F124" i="1"/>
  <c r="A124" i="1"/>
  <c r="F121" i="1"/>
  <c r="A121" i="1"/>
  <c r="F119" i="1"/>
  <c r="A119" i="1"/>
  <c r="F117" i="1"/>
  <c r="A117" i="1"/>
  <c r="F116" i="1"/>
  <c r="A116" i="1"/>
  <c r="F120" i="1"/>
  <c r="A120" i="1"/>
  <c r="F118" i="1"/>
  <c r="A118" i="1"/>
  <c r="F115" i="1"/>
  <c r="A115" i="1"/>
  <c r="F114" i="1"/>
  <c r="A114" i="1"/>
  <c r="G113" i="1"/>
  <c r="F113" i="1"/>
  <c r="A113" i="1"/>
  <c r="F112" i="1"/>
  <c r="A112" i="1"/>
  <c r="F111" i="1"/>
  <c r="A111" i="1"/>
  <c r="F109" i="1"/>
  <c r="A109" i="1"/>
  <c r="F108" i="1"/>
  <c r="A108" i="1"/>
  <c r="F110" i="1"/>
  <c r="A110" i="1"/>
  <c r="F107" i="1"/>
  <c r="F106" i="1"/>
  <c r="A106" i="1"/>
  <c r="F105" i="1"/>
  <c r="A105" i="1"/>
  <c r="F104" i="1"/>
  <c r="A104" i="1"/>
  <c r="F103" i="1"/>
  <c r="A103" i="1"/>
  <c r="F102" i="1"/>
  <c r="A102" i="1"/>
  <c r="F100" i="1"/>
  <c r="A100" i="1"/>
  <c r="F99" i="1"/>
  <c r="A99" i="1"/>
  <c r="F98" i="1"/>
  <c r="A98" i="1"/>
  <c r="F97" i="1"/>
  <c r="A97" i="1"/>
  <c r="F96" i="1"/>
  <c r="A96" i="1"/>
  <c r="F101" i="1"/>
  <c r="A101" i="1"/>
  <c r="F95" i="1"/>
  <c r="A95" i="1"/>
  <c r="F93" i="1"/>
  <c r="A93" i="1"/>
  <c r="F92" i="1"/>
  <c r="A92" i="1"/>
  <c r="F91" i="1"/>
  <c r="F86" i="1"/>
  <c r="A86" i="1"/>
  <c r="F89" i="1"/>
  <c r="A89" i="1"/>
  <c r="F88" i="1"/>
  <c r="A88" i="1"/>
  <c r="F87" i="1"/>
  <c r="A87" i="1"/>
  <c r="F85" i="1"/>
  <c r="A85" i="1"/>
  <c r="F84" i="1"/>
  <c r="A84" i="1"/>
  <c r="F90" i="1"/>
  <c r="A90" i="1"/>
  <c r="F83" i="1"/>
  <c r="A83" i="1"/>
  <c r="F82" i="1"/>
  <c r="A82" i="1"/>
  <c r="F81" i="1"/>
  <c r="A81" i="1"/>
  <c r="F80" i="1"/>
  <c r="F79" i="1"/>
  <c r="A79" i="1"/>
  <c r="F78" i="1"/>
  <c r="A78" i="1"/>
  <c r="F75" i="1"/>
  <c r="A75" i="1"/>
  <c r="F77" i="1"/>
  <c r="A77" i="1"/>
  <c r="F76" i="1"/>
  <c r="A76" i="1"/>
  <c r="F73" i="1"/>
  <c r="A73" i="1"/>
  <c r="F72" i="1"/>
  <c r="A72" i="1"/>
  <c r="F71" i="1"/>
  <c r="A71" i="1"/>
  <c r="F70" i="1"/>
  <c r="F67" i="1"/>
  <c r="A67" i="1"/>
  <c r="F66" i="1"/>
  <c r="A66" i="1"/>
  <c r="F65" i="1"/>
  <c r="A65" i="1"/>
  <c r="F63" i="1"/>
  <c r="A63" i="1"/>
  <c r="F62" i="1"/>
  <c r="A62" i="1"/>
  <c r="F61" i="1"/>
  <c r="A61" i="1"/>
  <c r="F60" i="1"/>
  <c r="A60" i="1"/>
  <c r="F59" i="1"/>
  <c r="A59" i="1"/>
  <c r="F58" i="1"/>
  <c r="A58" i="1"/>
  <c r="F56" i="1"/>
  <c r="A56" i="1"/>
  <c r="F57" i="1"/>
  <c r="A57" i="1"/>
  <c r="F55" i="1"/>
  <c r="A55" i="1"/>
  <c r="F52" i="1"/>
  <c r="A52" i="1"/>
  <c r="F53" i="1"/>
  <c r="A53" i="1"/>
  <c r="F51" i="1"/>
  <c r="A51" i="1"/>
  <c r="F50" i="1"/>
  <c r="A50" i="1"/>
  <c r="F41" i="1"/>
  <c r="A41" i="1"/>
  <c r="F43" i="1"/>
  <c r="A43" i="1"/>
  <c r="F44" i="1"/>
  <c r="A44" i="1"/>
  <c r="F47" i="1"/>
  <c r="A47" i="1"/>
  <c r="F45" i="1"/>
  <c r="A45" i="1"/>
  <c r="F49" i="1"/>
  <c r="A49" i="1"/>
  <c r="F42" i="1"/>
  <c r="A42" i="1"/>
  <c r="F46" i="1"/>
  <c r="A46" i="1"/>
  <c r="F48" i="1"/>
  <c r="A48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4" i="1"/>
  <c r="A24" i="1"/>
  <c r="F22" i="1"/>
  <c r="A22" i="1"/>
  <c r="F23" i="1"/>
  <c r="A23" i="1"/>
  <c r="F19" i="1"/>
  <c r="A19" i="1"/>
  <c r="F18" i="1"/>
  <c r="A18" i="1"/>
  <c r="F17" i="1"/>
  <c r="A17" i="1"/>
  <c r="F15" i="1"/>
  <c r="A15" i="1"/>
  <c r="F16" i="1"/>
  <c r="A16" i="1"/>
  <c r="F14" i="1"/>
  <c r="A14" i="1"/>
  <c r="F20" i="1"/>
  <c r="A20" i="1"/>
  <c r="F21" i="1"/>
  <c r="A21" i="1"/>
  <c r="F13" i="1"/>
  <c r="A13" i="1"/>
  <c r="F11" i="1"/>
  <c r="A11" i="1"/>
  <c r="F12" i="1"/>
  <c r="A12" i="1"/>
  <c r="F94" i="1"/>
  <c r="A94" i="1"/>
  <c r="F29" i="1"/>
  <c r="A29" i="1"/>
  <c r="F28" i="1"/>
  <c r="A28" i="1"/>
  <c r="F27" i="1"/>
  <c r="A27" i="1"/>
  <c r="F26" i="1"/>
  <c r="A26" i="1"/>
  <c r="F25" i="1"/>
  <c r="A25" i="1"/>
  <c r="F64" i="1"/>
  <c r="A64" i="1"/>
  <c r="F74" i="1"/>
  <c r="A74" i="1"/>
  <c r="F54" i="1"/>
  <c r="A54" i="1"/>
  <c r="F10" i="1"/>
  <c r="A10" i="1"/>
  <c r="F9" i="1"/>
  <c r="A9" i="1"/>
  <c r="F8" i="1"/>
  <c r="A8" i="1"/>
  <c r="F7" i="1"/>
  <c r="A7" i="1"/>
  <c r="F6" i="1"/>
  <c r="A6" i="1"/>
  <c r="F5" i="1"/>
  <c r="A5" i="1"/>
  <c r="F4" i="1"/>
  <c r="A4" i="1"/>
  <c r="G159" i="1" l="1"/>
  <c r="G139" i="1"/>
  <c r="F139" i="1"/>
  <c r="F131" i="1"/>
  <c r="G163" i="1" l="1"/>
  <c r="C131" i="1"/>
  <c r="C139" i="1"/>
  <c r="C162" i="1"/>
  <c r="C159" i="1"/>
  <c r="D69" i="1" l="1"/>
  <c r="G69" i="1" s="1"/>
  <c r="D68" i="1"/>
  <c r="G68" i="1" s="1"/>
  <c r="D32" i="1"/>
  <c r="G32" i="1" s="1"/>
  <c r="D31" i="1"/>
  <c r="G31" i="1" s="1"/>
  <c r="D13" i="1"/>
  <c r="G13" i="1" s="1"/>
  <c r="D21" i="1"/>
  <c r="G21" i="1" s="1"/>
  <c r="D20" i="1"/>
  <c r="G20" i="1" s="1"/>
  <c r="D14" i="1"/>
  <c r="G14" i="1" s="1"/>
  <c r="D16" i="1"/>
  <c r="G16" i="1" s="1"/>
  <c r="D15" i="1"/>
  <c r="G15" i="1" s="1"/>
  <c r="D17" i="1"/>
  <c r="G17" i="1" s="1"/>
  <c r="D19" i="1"/>
  <c r="G19" i="1" s="1"/>
  <c r="D22" i="1"/>
  <c r="G22" i="1" s="1"/>
  <c r="D24" i="1"/>
  <c r="G24" i="1" s="1"/>
  <c r="D101" i="1"/>
  <c r="G101" i="1" s="1"/>
  <c r="D117" i="1"/>
  <c r="G117" i="1" s="1"/>
  <c r="D123" i="1"/>
  <c r="G123" i="1" s="1"/>
  <c r="D18" i="1"/>
  <c r="G18" i="1" s="1"/>
  <c r="D23" i="1"/>
  <c r="G23" i="1" s="1"/>
  <c r="D35" i="1"/>
  <c r="G35" i="1" s="1"/>
  <c r="D34" i="1"/>
  <c r="G34" i="1" s="1"/>
  <c r="D116" i="1"/>
  <c r="G116" i="1" s="1"/>
  <c r="D126" i="1"/>
  <c r="G126" i="1" s="1"/>
  <c r="D130" i="1"/>
  <c r="G130" i="1" s="1"/>
  <c r="D129" i="1"/>
  <c r="G129" i="1" s="1"/>
  <c r="D94" i="1"/>
  <c r="G94" i="1" s="1"/>
  <c r="D12" i="1"/>
  <c r="G12" i="1" s="1"/>
  <c r="D11" i="1"/>
  <c r="G11" i="1" s="1"/>
  <c r="D33" i="1"/>
  <c r="G33" i="1" s="1"/>
  <c r="D128" i="1"/>
  <c r="G128" i="1" s="1"/>
  <c r="D25" i="1"/>
  <c r="G25" i="1" s="1"/>
  <c r="D26" i="1"/>
  <c r="G26" i="1" s="1"/>
  <c r="D27" i="1"/>
  <c r="G27" i="1" s="1"/>
  <c r="D28" i="1"/>
  <c r="G28" i="1" s="1"/>
  <c r="D29" i="1"/>
  <c r="G29" i="1" s="1"/>
  <c r="D79" i="1"/>
  <c r="G79" i="1" s="1"/>
  <c r="D95" i="1"/>
  <c r="G95" i="1" s="1"/>
  <c r="D108" i="1"/>
  <c r="G108" i="1" s="1"/>
  <c r="D115" i="1"/>
  <c r="G115" i="1" s="1"/>
  <c r="D118" i="1"/>
  <c r="G118" i="1" s="1"/>
  <c r="D120" i="1"/>
  <c r="G120" i="1" s="1"/>
  <c r="D37" i="1"/>
  <c r="G37" i="1" s="1"/>
  <c r="D36" i="1"/>
  <c r="G36" i="1" s="1"/>
  <c r="D80" i="1"/>
  <c r="G80" i="1" s="1"/>
  <c r="D38" i="1"/>
  <c r="G38" i="1" s="1"/>
  <c r="D49" i="1"/>
  <c r="G49" i="1" s="1"/>
  <c r="D30" i="1"/>
  <c r="G30" i="1" s="1"/>
  <c r="D45" i="1"/>
  <c r="G45" i="1" s="1"/>
  <c r="D47" i="1"/>
  <c r="G47" i="1" s="1"/>
  <c r="D124" i="1"/>
  <c r="G124" i="1" s="1"/>
  <c r="D122" i="1"/>
  <c r="G122" i="1" s="1"/>
  <c r="D78" i="1"/>
  <c r="G78" i="1" s="1"/>
  <c r="D110" i="1"/>
  <c r="G110" i="1" s="1"/>
  <c r="D111" i="1"/>
  <c r="G111" i="1" s="1"/>
  <c r="D119" i="1"/>
  <c r="G119" i="1" s="1"/>
  <c r="D127" i="1"/>
  <c r="G127" i="1" s="1"/>
  <c r="D93" i="1"/>
  <c r="G93" i="1" s="1"/>
  <c r="D96" i="1"/>
  <c r="G96" i="1" s="1"/>
  <c r="D97" i="1"/>
  <c r="G97" i="1" s="1"/>
  <c r="D109" i="1"/>
  <c r="G109" i="1" s="1"/>
  <c r="D112" i="1"/>
  <c r="G112" i="1" s="1"/>
  <c r="D114" i="1"/>
  <c r="G114" i="1" s="1"/>
  <c r="D125" i="1"/>
  <c r="G125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54" i="1"/>
  <c r="G54" i="1" s="1"/>
  <c r="D74" i="1"/>
  <c r="G74" i="1" s="1"/>
  <c r="D64" i="1"/>
  <c r="G64" i="1" s="1"/>
  <c r="D44" i="1"/>
  <c r="G44" i="1" s="1"/>
  <c r="D85" i="1"/>
  <c r="G85" i="1" s="1"/>
  <c r="D87" i="1"/>
  <c r="G87" i="1" s="1"/>
  <c r="D88" i="1"/>
  <c r="G88" i="1" s="1"/>
  <c r="D89" i="1"/>
  <c r="G89" i="1" s="1"/>
  <c r="D86" i="1"/>
  <c r="G86" i="1" s="1"/>
  <c r="D91" i="1"/>
  <c r="G91" i="1" s="1"/>
  <c r="D92" i="1"/>
  <c r="G92" i="1" s="1"/>
  <c r="D98" i="1"/>
  <c r="G98" i="1" s="1"/>
  <c r="D99" i="1"/>
  <c r="G99" i="1" s="1"/>
  <c r="D100" i="1"/>
  <c r="G100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21" i="1"/>
  <c r="G121" i="1" s="1"/>
  <c r="D39" i="1"/>
  <c r="G39" i="1" s="1"/>
  <c r="D43" i="1"/>
  <c r="G43" i="1" s="1"/>
  <c r="D76" i="1"/>
  <c r="G76" i="1" s="1"/>
  <c r="D77" i="1"/>
  <c r="G77" i="1" s="1"/>
  <c r="D75" i="1"/>
  <c r="G75" i="1" s="1"/>
  <c r="D81" i="1"/>
  <c r="G81" i="1" s="1"/>
  <c r="D82" i="1"/>
  <c r="G82" i="1" s="1"/>
  <c r="D83" i="1"/>
  <c r="G83" i="1" s="1"/>
  <c r="D90" i="1"/>
  <c r="G90" i="1" s="1"/>
  <c r="D84" i="1"/>
  <c r="G84" i="1" s="1"/>
  <c r="D41" i="1"/>
  <c r="G41" i="1" s="1"/>
  <c r="D72" i="1"/>
  <c r="G72" i="1" s="1"/>
  <c r="D73" i="1"/>
  <c r="G73" i="1" s="1"/>
  <c r="D65" i="1"/>
  <c r="G65" i="1" s="1"/>
  <c r="D66" i="1"/>
  <c r="G66" i="1" s="1"/>
  <c r="D67" i="1"/>
  <c r="G67" i="1" s="1"/>
  <c r="D70" i="1"/>
  <c r="G70" i="1" s="1"/>
  <c r="D71" i="1"/>
  <c r="G71" i="1" s="1"/>
  <c r="D40" i="1"/>
  <c r="G40" i="1" s="1"/>
  <c r="D48" i="1"/>
  <c r="G48" i="1" s="1"/>
  <c r="D51" i="1"/>
  <c r="G51" i="1" s="1"/>
  <c r="D50" i="1"/>
  <c r="G50" i="1" s="1"/>
  <c r="D53" i="1"/>
  <c r="G53" i="1" s="1"/>
  <c r="D52" i="1"/>
  <c r="G52" i="1" s="1"/>
  <c r="D55" i="1"/>
  <c r="G55" i="1" s="1"/>
  <c r="D57" i="1"/>
  <c r="G57" i="1" s="1"/>
  <c r="D56" i="1"/>
  <c r="G56" i="1" s="1"/>
  <c r="D58" i="1"/>
  <c r="G58" i="1" s="1"/>
  <c r="D59" i="1"/>
  <c r="G59" i="1" s="1"/>
  <c r="D60" i="1"/>
  <c r="G60" i="1" s="1"/>
  <c r="D61" i="1"/>
  <c r="G61" i="1" s="1"/>
  <c r="D62" i="1"/>
  <c r="G62" i="1" s="1"/>
  <c r="D63" i="1"/>
  <c r="G63" i="1" s="1"/>
  <c r="D46" i="1"/>
  <c r="G46" i="1" s="1"/>
  <c r="D42" i="1"/>
  <c r="G42" i="1" s="1"/>
  <c r="G131" i="1" l="1"/>
  <c r="G164" i="1" s="1"/>
  <c r="G165" i="1" s="1"/>
</calcChain>
</file>

<file path=xl/sharedStrings.xml><?xml version="1.0" encoding="utf-8"?>
<sst xmlns="http://schemas.openxmlformats.org/spreadsheetml/2006/main" count="60" uniqueCount="40">
  <si>
    <t>Нажмите на название игры для того, чтобы перейти к описанию.</t>
  </si>
  <si>
    <t>Игры Crowd Games (Категории 1)</t>
  </si>
  <si>
    <t xml:space="preserve">Артикул </t>
  </si>
  <si>
    <t>РМРЦ*</t>
  </si>
  <si>
    <t>Цена со скидкой</t>
  </si>
  <si>
    <t>Кол-во</t>
  </si>
  <si>
    <t>Сумма, базовая цена</t>
  </si>
  <si>
    <t>Сумма</t>
  </si>
  <si>
    <t>16265</t>
  </si>
  <si>
    <t>16266</t>
  </si>
  <si>
    <t>16299</t>
  </si>
  <si>
    <t>16400-1</t>
  </si>
  <si>
    <t>Размер предоставляемой скидки зависит от общей суммы заказа, за исключением игр из категории Fix-price.</t>
  </si>
  <si>
    <t>Сумма заказа</t>
  </si>
  <si>
    <t>Процент скидки</t>
  </si>
  <si>
    <t xml:space="preserve">Внимание! Минимальная сумма заказа 20 000 рублей, с учетом скидки. Скидка считается автоматически, и отображается в поле "ВАША СКИДКА". Вам достаточно лишь ввести количество экземпляров. Поле "ВАШ ДОХОД" - это разница между стоимостью игр, которые вы заказываете по РМРЦ и фактической суммой к оплате.  </t>
  </si>
  <si>
    <t>16246-playmat</t>
  </si>
  <si>
    <t>Под листвой</t>
  </si>
  <si>
    <t>BCUPRL02ML2</t>
  </si>
  <si>
    <t>Пылающее сердце</t>
  </si>
  <si>
    <t>Фейя. Болотный край</t>
  </si>
  <si>
    <t>ARQ-152</t>
  </si>
  <si>
    <t>Чернила</t>
  </si>
  <si>
    <t>Эхо времени</t>
  </si>
  <si>
    <t>ВАША СКИДКА</t>
  </si>
  <si>
    <t>СУММА</t>
  </si>
  <si>
    <t>Игры Crowd Games (Fix-price)</t>
  </si>
  <si>
    <t>Fix-price</t>
  </si>
  <si>
    <t>Аксессуары Crowd Games</t>
  </si>
  <si>
    <t>Игра от наших партнеров</t>
  </si>
  <si>
    <t>СУММА БАЗОВАЯ</t>
  </si>
  <si>
    <t>ОБЩАЯ СУММА ЗАКАЗА</t>
  </si>
  <si>
    <t>ВАШ ДОХОД</t>
  </si>
  <si>
    <t>* РМРЦ - рекомендуемая минимальная розничная цена, ниже которой мы просим не продавать.</t>
  </si>
  <si>
    <t>Парус</t>
  </si>
  <si>
    <t>Pax Hispanica. Русское издание</t>
  </si>
  <si>
    <t>Pax Illuminaten. Русское издание</t>
  </si>
  <si>
    <t>Система скидок           Crowd Games</t>
  </si>
  <si>
    <t>ПРАЙС ЛИСТ CROWD GAMES с 08.06.2026</t>
  </si>
  <si>
    <t>BCUPRL03ML2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</si>
</sst>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₽&quot;"/>
  </numFmts>
  <fonts count="2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name val="Calibri"/>
      <family val="2"/>
      <charset val="204"/>
    </font>
    <font>
      <sz val="12"/>
      <color theme="1"/>
      <name val="Aptos Narrow"/>
    </font>
    <font>
      <sz val="12"/>
      <color theme="1"/>
      <name val="Arial"/>
      <family val="2"/>
      <charset val="204"/>
    </font>
    <font>
      <sz val="12"/>
      <color theme="1"/>
      <name val="Aptos Narrow"/>
    </font>
    <font>
      <b/>
      <u/>
      <sz val="10"/>
      <color rgb="FFFF0000"/>
      <name val="Arial"/>
      <family val="2"/>
      <charset val="204"/>
    </font>
    <font>
      <sz val="8"/>
      <name val="Arial"/>
      <family val="2"/>
    </font>
    <font>
      <sz val="12"/>
      <color theme="1"/>
      <name val="Arial"/>
      <family val="2"/>
    </font>
    <font>
      <sz val="12"/>
      <color theme="10"/>
      <name val="Arial"/>
      <family val="2"/>
    </font>
    <font>
      <sz val="12"/>
      <name val="Arial"/>
      <family val="2"/>
    </font>
    <font>
      <sz val="11"/>
      <color theme="10"/>
      <name val="Arial"/>
      <family val="2"/>
    </font>
    <font>
      <sz val="11"/>
      <name val="Arial"/>
      <family val="2"/>
    </font>
    <font>
      <sz val="11"/>
      <color rgb="FFFF5050"/>
      <name val="Arial"/>
      <family val="2"/>
    </font>
    <font>
      <sz val="11"/>
      <color rgb="FF000000"/>
      <name val="Arial"/>
      <family val="2"/>
    </font>
    <font>
      <sz val="11"/>
      <color rgb="FF0563C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theme="9" tint="0.79998168889431442"/>
        <bgColor rgb="FFD9EAD3"/>
      </patternFill>
    </fill>
    <fill>
      <patternFill patternType="solid">
        <fgColor theme="9"/>
        <bgColor rgb="FF6AA84F"/>
      </patternFill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D9EAD3"/>
      </patternFill>
    </fill>
    <fill>
      <patternFill patternType="solid">
        <fgColor rgb="FFFFFFFF"/>
        <bgColor rgb="FF0000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15" fillId="0" borderId="0"/>
  </cellStyleXfs>
  <cellXfs count="15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5" borderId="10" xfId="1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0" fontId="4" fillId="5" borderId="6" xfId="1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7" borderId="6" xfId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/>
    <xf numFmtId="0" fontId="4" fillId="6" borderId="10" xfId="0" applyFont="1" applyFill="1" applyBorder="1" applyAlignment="1">
      <alignment vertical="top" wrapText="1"/>
    </xf>
    <xf numFmtId="164" fontId="9" fillId="6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7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/>
    </xf>
    <xf numFmtId="0" fontId="10" fillId="0" borderId="0" xfId="0" applyFont="1"/>
    <xf numFmtId="0" fontId="4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/>
    </xf>
    <xf numFmtId="164" fontId="9" fillId="2" borderId="1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9" fillId="4" borderId="1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 applyProtection="1">
      <alignment horizontal="center" vertical="top"/>
      <protection locked="0"/>
    </xf>
    <xf numFmtId="0" fontId="2" fillId="8" borderId="1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 applyProtection="1">
      <alignment horizontal="center" vertical="top"/>
      <protection locked="0"/>
    </xf>
    <xf numFmtId="0" fontId="2" fillId="5" borderId="16" xfId="1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2" fillId="7" borderId="17" xfId="1" applyFont="1" applyFill="1" applyBorder="1" applyAlignment="1">
      <alignment horizontal="center" vertical="top" wrapText="1"/>
    </xf>
    <xf numFmtId="0" fontId="4" fillId="5" borderId="17" xfId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7" fillId="8" borderId="1" xfId="0" applyFont="1" applyFill="1" applyBorder="1" applyAlignment="1" applyProtection="1">
      <alignment horizontal="center" vertical="top"/>
      <protection locked="0"/>
    </xf>
    <xf numFmtId="0" fontId="7" fillId="8" borderId="11" xfId="0" applyFont="1" applyFill="1" applyBorder="1" applyAlignment="1">
      <alignment horizontal="center" vertical="top"/>
    </xf>
    <xf numFmtId="0" fontId="16" fillId="10" borderId="1" xfId="0" applyFont="1" applyFill="1" applyBorder="1" applyAlignment="1">
      <alignment horizontal="center" vertical="top"/>
    </xf>
    <xf numFmtId="0" fontId="17" fillId="8" borderId="10" xfId="1" applyFont="1" applyFill="1" applyBorder="1" applyAlignment="1">
      <alignment vertical="top" wrapText="1"/>
    </xf>
    <xf numFmtId="0" fontId="18" fillId="10" borderId="1" xfId="2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horizontal="center" vertical="top"/>
    </xf>
    <xf numFmtId="0" fontId="18" fillId="8" borderId="1" xfId="0" applyFont="1" applyFill="1" applyBorder="1" applyAlignment="1">
      <alignment horizontal="center" vertical="top" wrapText="1"/>
    </xf>
    <xf numFmtId="0" fontId="18" fillId="8" borderId="1" xfId="0" applyFont="1" applyFill="1" applyBorder="1" applyAlignment="1">
      <alignment vertical="top"/>
    </xf>
    <xf numFmtId="0" fontId="18" fillId="8" borderId="1" xfId="0" applyFont="1" applyFill="1" applyBorder="1" applyAlignment="1" applyProtection="1">
      <alignment vertical="top"/>
      <protection locked="0"/>
    </xf>
    <xf numFmtId="0" fontId="18" fillId="8" borderId="11" xfId="0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center" vertical="top"/>
    </xf>
    <xf numFmtId="0" fontId="19" fillId="11" borderId="10" xfId="1" applyFont="1" applyFill="1" applyBorder="1" applyAlignment="1">
      <alignment vertical="top" wrapText="1"/>
    </xf>
    <xf numFmtId="0" fontId="20" fillId="11" borderId="1" xfId="1" applyFont="1" applyFill="1" applyBorder="1" applyAlignment="1">
      <alignment horizontal="center" vertical="top" wrapText="1"/>
    </xf>
    <xf numFmtId="0" fontId="20" fillId="11" borderId="1" xfId="0" applyFont="1" applyFill="1" applyBorder="1" applyAlignment="1">
      <alignment horizontal="center" vertical="top"/>
    </xf>
    <xf numFmtId="0" fontId="20" fillId="11" borderId="1" xfId="0" applyFont="1" applyFill="1" applyBorder="1" applyAlignment="1">
      <alignment horizontal="center" vertical="top" wrapText="1"/>
    </xf>
    <xf numFmtId="0" fontId="20" fillId="11" borderId="10" xfId="1" applyFont="1" applyFill="1" applyBorder="1" applyAlignment="1">
      <alignment vertical="top" wrapText="1"/>
    </xf>
    <xf numFmtId="0" fontId="20" fillId="11" borderId="20" xfId="1" applyFont="1" applyFill="1" applyBorder="1" applyAlignment="1">
      <alignment horizontal="center" vertical="top" wrapText="1"/>
    </xf>
    <xf numFmtId="0" fontId="20" fillId="11" borderId="21" xfId="0" applyFont="1" applyFill="1" applyBorder="1" applyAlignment="1">
      <alignment horizontal="center" vertical="top"/>
    </xf>
    <xf numFmtId="0" fontId="20" fillId="11" borderId="21" xfId="0" applyFont="1" applyFill="1" applyBorder="1" applyAlignment="1">
      <alignment horizontal="center" vertical="top" wrapText="1"/>
    </xf>
    <xf numFmtId="0" fontId="20" fillId="11" borderId="19" xfId="1" applyFont="1" applyFill="1" applyBorder="1" applyAlignment="1">
      <alignment horizontal="center" vertical="top" wrapText="1"/>
    </xf>
    <xf numFmtId="0" fontId="19" fillId="11" borderId="19" xfId="1" applyFont="1" applyFill="1" applyBorder="1" applyAlignment="1">
      <alignment vertical="top" wrapText="1"/>
    </xf>
    <xf numFmtId="0" fontId="20" fillId="11" borderId="16" xfId="1" applyFont="1" applyFill="1" applyBorder="1" applyAlignment="1">
      <alignment horizontal="center" vertical="top" wrapText="1"/>
    </xf>
    <xf numFmtId="0" fontId="20" fillId="11" borderId="16" xfId="2" applyFont="1" applyFill="1" applyBorder="1" applyAlignment="1">
      <alignment horizontal="center" vertical="top" wrapText="1"/>
    </xf>
    <xf numFmtId="0" fontId="19" fillId="11" borderId="1" xfId="1" applyFont="1" applyFill="1" applyBorder="1" applyAlignment="1">
      <alignment vertical="top" wrapText="1"/>
    </xf>
    <xf numFmtId="0" fontId="20" fillId="11" borderId="19" xfId="1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20" fillId="11" borderId="25" xfId="1" applyFont="1" applyFill="1" applyBorder="1" applyAlignment="1">
      <alignment vertical="top" wrapText="1"/>
    </xf>
    <xf numFmtId="0" fontId="20" fillId="11" borderId="22" xfId="1" applyFont="1" applyFill="1" applyBorder="1" applyAlignment="1">
      <alignment horizontal="center" vertical="top" wrapText="1"/>
    </xf>
    <xf numFmtId="0" fontId="20" fillId="11" borderId="26" xfId="0" applyFont="1" applyFill="1" applyBorder="1" applyAlignment="1">
      <alignment horizontal="center" vertical="top"/>
    </xf>
    <xf numFmtId="0" fontId="20" fillId="11" borderId="26" xfId="0" applyFont="1" applyFill="1" applyBorder="1" applyAlignment="1">
      <alignment horizontal="center" vertical="top" wrapText="1"/>
    </xf>
    <xf numFmtId="0" fontId="19" fillId="11" borderId="28" xfId="1" applyFont="1" applyFill="1" applyBorder="1" applyAlignment="1">
      <alignment vertical="top" wrapText="1"/>
    </xf>
    <xf numFmtId="0" fontId="20" fillId="11" borderId="29" xfId="1" applyFont="1" applyFill="1" applyBorder="1" applyAlignment="1">
      <alignment horizontal="center" vertical="top" wrapText="1"/>
    </xf>
    <xf numFmtId="0" fontId="2" fillId="5" borderId="21" xfId="0" applyFont="1" applyFill="1" applyBorder="1" applyAlignment="1" applyProtection="1">
      <alignment horizontal="center" vertical="top"/>
      <protection locked="0"/>
    </xf>
    <xf numFmtId="0" fontId="20" fillId="11" borderId="2" xfId="1" applyFont="1" applyFill="1" applyBorder="1" applyAlignment="1">
      <alignment horizontal="center" vertical="top" wrapText="1"/>
    </xf>
    <xf numFmtId="0" fontId="20" fillId="11" borderId="2" xfId="0" applyFont="1" applyFill="1" applyBorder="1" applyAlignment="1">
      <alignment horizontal="center" vertical="top"/>
    </xf>
    <xf numFmtId="0" fontId="20" fillId="11" borderId="2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 applyProtection="1">
      <alignment horizontal="center" vertical="top"/>
      <protection locked="0"/>
    </xf>
    <xf numFmtId="0" fontId="20" fillId="5" borderId="1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horizontal="center" vertical="top"/>
    </xf>
    <xf numFmtId="0" fontId="20" fillId="5" borderId="26" xfId="0" applyFont="1" applyFill="1" applyBorder="1" applyAlignment="1" applyProtection="1">
      <alignment horizontal="center" vertical="top"/>
      <protection locked="0"/>
    </xf>
    <xf numFmtId="0" fontId="20" fillId="5" borderId="26" xfId="0" applyFont="1" applyFill="1" applyBorder="1" applyAlignment="1">
      <alignment horizontal="center" vertical="top"/>
    </xf>
    <xf numFmtId="0" fontId="20" fillId="5" borderId="27" xfId="0" applyFont="1" applyFill="1" applyBorder="1" applyAlignment="1">
      <alignment horizontal="center" vertical="top"/>
    </xf>
    <xf numFmtId="0" fontId="19" fillId="11" borderId="30" xfId="1" applyFont="1" applyFill="1" applyBorder="1" applyAlignment="1">
      <alignment vertical="top"/>
    </xf>
    <xf numFmtId="0" fontId="20" fillId="5" borderId="2" xfId="0" applyFont="1" applyFill="1" applyBorder="1" applyAlignment="1" applyProtection="1">
      <alignment horizontal="center" vertical="top"/>
      <protection locked="0"/>
    </xf>
    <xf numFmtId="0" fontId="20" fillId="5" borderId="2" xfId="0" applyFont="1" applyFill="1" applyBorder="1" applyAlignment="1">
      <alignment horizontal="center" vertical="top"/>
    </xf>
    <xf numFmtId="0" fontId="20" fillId="5" borderId="31" xfId="0" applyFont="1" applyFill="1" applyBorder="1" applyAlignment="1">
      <alignment horizontal="center" vertical="top"/>
    </xf>
    <xf numFmtId="0" fontId="1" fillId="2" borderId="42" xfId="0" applyFont="1" applyFill="1" applyBorder="1" applyAlignment="1">
      <alignment horizontal="center" vertical="top" wrapText="1"/>
    </xf>
    <xf numFmtId="165" fontId="2" fillId="12" borderId="7" xfId="0" applyNumberFormat="1" applyFont="1" applyFill="1" applyBorder="1" applyAlignment="1">
      <alignment horizontal="center" vertical="top"/>
    </xf>
    <xf numFmtId="164" fontId="2" fillId="12" borderId="43" xfId="0" applyNumberFormat="1" applyFont="1" applyFill="1" applyBorder="1" applyAlignment="1">
      <alignment horizontal="center" vertical="top"/>
    </xf>
    <xf numFmtId="165" fontId="2" fillId="12" borderId="28" xfId="0" applyNumberFormat="1" applyFont="1" applyFill="1" applyBorder="1" applyAlignment="1">
      <alignment horizontal="center" vertical="top"/>
    </xf>
    <xf numFmtId="164" fontId="2" fillId="12" borderId="44" xfId="0" applyNumberFormat="1" applyFont="1" applyFill="1" applyBorder="1" applyAlignment="1">
      <alignment horizontal="center" vertical="top"/>
    </xf>
    <xf numFmtId="165" fontId="2" fillId="12" borderId="45" xfId="0" applyNumberFormat="1" applyFont="1" applyFill="1" applyBorder="1" applyAlignment="1">
      <alignment horizontal="center" vertical="top"/>
    </xf>
    <xf numFmtId="164" fontId="2" fillId="12" borderId="5" xfId="0" applyNumberFormat="1" applyFont="1" applyFill="1" applyBorder="1" applyAlignment="1">
      <alignment horizontal="center" vertical="top"/>
    </xf>
    <xf numFmtId="165" fontId="2" fillId="12" borderId="25" xfId="0" applyNumberFormat="1" applyFont="1" applyFill="1" applyBorder="1" applyAlignment="1">
      <alignment horizontal="center" vertical="top"/>
    </xf>
    <xf numFmtId="164" fontId="2" fillId="12" borderId="46" xfId="0" applyNumberFormat="1" applyFont="1" applyFill="1" applyBorder="1" applyAlignment="1">
      <alignment horizontal="center" vertical="top"/>
    </xf>
    <xf numFmtId="0" fontId="19" fillId="11" borderId="47" xfId="1" applyFont="1" applyFill="1" applyBorder="1" applyAlignment="1">
      <alignment vertical="top"/>
    </xf>
    <xf numFmtId="0" fontId="20" fillId="5" borderId="44" xfId="0" applyFont="1" applyFill="1" applyBorder="1" applyAlignment="1">
      <alignment horizontal="center" vertical="top"/>
    </xf>
    <xf numFmtId="0" fontId="20" fillId="11" borderId="48" xfId="1" applyFont="1" applyFill="1" applyBorder="1" applyAlignment="1">
      <alignment horizontal="center" vertical="top" wrapText="1"/>
    </xf>
    <xf numFmtId="0" fontId="20" fillId="11" borderId="48" xfId="0" applyFont="1" applyFill="1" applyBorder="1" applyAlignment="1">
      <alignment horizontal="center" vertical="top"/>
    </xf>
    <xf numFmtId="0" fontId="20" fillId="11" borderId="48" xfId="0" applyFont="1" applyFill="1" applyBorder="1" applyAlignment="1">
      <alignment horizontal="center" vertical="top" wrapText="1"/>
    </xf>
    <xf numFmtId="0" fontId="20" fillId="5" borderId="48" xfId="0" applyFont="1" applyFill="1" applyBorder="1" applyAlignment="1" applyProtection="1">
      <alignment horizontal="center" vertical="top"/>
      <protection locked="0"/>
    </xf>
    <xf numFmtId="0" fontId="20" fillId="5" borderId="48" xfId="0" applyFont="1" applyFill="1" applyBorder="1" applyAlignment="1">
      <alignment horizontal="center" vertical="top"/>
    </xf>
    <xf numFmtId="0" fontId="23" fillId="11" borderId="39" xfId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0" fillId="0" borderId="24" xfId="0" applyBorder="1"/>
    <xf numFmtId="0" fontId="0" fillId="0" borderId="18" xfId="0" applyBorder="1"/>
    <xf numFmtId="0" fontId="4" fillId="2" borderId="10" xfId="0" applyFont="1" applyFill="1" applyBorder="1" applyAlignment="1">
      <alignment vertical="top"/>
    </xf>
    <xf numFmtId="0" fontId="0" fillId="0" borderId="23" xfId="0" applyBorder="1"/>
    <xf numFmtId="0" fontId="0" fillId="0" borderId="16" xfId="0" applyBorder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8" xfId="0" applyFont="1" applyBorder="1" applyAlignment="1">
      <alignment horizontal="center" vertical="top" wrapText="1"/>
    </xf>
    <xf numFmtId="0" fontId="22" fillId="13" borderId="33" xfId="0" applyFont="1" applyFill="1" applyBorder="1" applyAlignment="1">
      <alignment horizontal="center" vertical="center" wrapText="1"/>
    </xf>
    <xf numFmtId="0" fontId="22" fillId="13" borderId="36" xfId="0" applyFont="1" applyFill="1" applyBorder="1" applyAlignment="1">
      <alignment horizontal="center" vertical="center" wrapText="1"/>
    </xf>
    <xf numFmtId="0" fontId="22" fillId="13" borderId="34" xfId="0" applyFont="1" applyFill="1" applyBorder="1" applyAlignment="1">
      <alignment horizontal="center" vertical="center" wrapText="1"/>
    </xf>
    <xf numFmtId="0" fontId="22" fillId="13" borderId="37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3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8"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  <dxf>
      <font>
        <color rgb="FFD9EAD3"/>
      </font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08DFC90-36B9-D646-A8B9-BBE400850CB4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279a0a9d-c5a9-439a-bac9-10f7a5047f8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rowdgames.ru/collection/parus" TargetMode="External"/><Relationship Id="rId2" Type="http://schemas.openxmlformats.org/officeDocument/2006/relationships/hyperlink" Target="https://www.crowdgames.ru/collection/pax-illuminaten-russkoe-izdanie" TargetMode="External"/><Relationship Id="rId1" Type="http://schemas.openxmlformats.org/officeDocument/2006/relationships/hyperlink" Target="https://www.crowdgames.ru/collection/pax-hispanica-russkoe-izdani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7"/>
  <sheetViews>
    <sheetView tabSelected="1" view="pageBreakPreview" zoomScaleNormal="100" zoomScaleSheetLayoutView="100" workbookViewId="0">
      <selection activeCell="C32" sqref="C32"/>
    </sheetView>
  </sheetViews>
  <sheetFormatPr defaultColWidth="9.140625" defaultRowHeight="15" x14ac:dyDescent="0.25"/>
  <cols>
    <col min="1" max="1" width="37.7109375" style="43" customWidth="1"/>
    <col min="2" max="2" width="10.7109375" style="45" customWidth="1"/>
    <col min="3" max="3" width="10.7109375" style="15" customWidth="1"/>
    <col min="4" max="4" width="10.7109375" style="20" customWidth="1"/>
    <col min="5" max="5" width="10.7109375" style="15" customWidth="1"/>
    <col min="6" max="6" width="20" style="15" hidden="1" customWidth="1"/>
    <col min="7" max="7" width="10.7109375" style="15" customWidth="1"/>
    <col min="8" max="8" width="4.85546875" style="2" customWidth="1"/>
    <col min="9" max="10" width="13.28515625" style="2" customWidth="1"/>
    <col min="11" max="11" width="9.140625" style="2" customWidth="1"/>
    <col min="12" max="16384" width="9.140625" style="2"/>
  </cols>
  <sheetData>
    <row r="1" spans="1:12" x14ac:dyDescent="0.25">
      <c r="A1" s="128" t="s">
        <v>38</v>
      </c>
      <c r="B1" s="129"/>
      <c r="C1" s="130"/>
      <c r="D1" s="131"/>
      <c r="E1" s="130"/>
      <c r="F1" s="130"/>
      <c r="G1" s="130"/>
      <c r="H1" s="132"/>
    </row>
    <row r="2" spans="1:12" ht="15.95" customHeight="1" thickBot="1" x14ac:dyDescent="0.3">
      <c r="A2" s="156" t="s">
        <v>0</v>
      </c>
      <c r="B2" s="129"/>
      <c r="C2" s="130"/>
      <c r="D2" s="131"/>
      <c r="E2" s="130"/>
      <c r="F2" s="130"/>
      <c r="G2" s="130"/>
    </row>
    <row r="3" spans="1:12" ht="30" customHeight="1" x14ac:dyDescent="0.25">
      <c r="A3" s="17" t="s">
        <v>1</v>
      </c>
      <c r="B3" s="18" t="s">
        <v>2</v>
      </c>
      <c r="C3" s="11" t="s">
        <v>3</v>
      </c>
      <c r="D3" s="18" t="s">
        <v>4</v>
      </c>
      <c r="E3" s="11" t="s">
        <v>5</v>
      </c>
      <c r="F3" s="11" t="s">
        <v>6</v>
      </c>
      <c r="G3" s="12" t="s">
        <v>7</v>
      </c>
      <c r="I3" s="16"/>
    </row>
    <row r="4" spans="1:12" ht="30" customHeight="1" x14ac:dyDescent="0.25">
      <c r="A4" s="67" t="str">
        <f>HYPERLINK("https://www.crowdgames.ru/collection/yami", "Ями (Новинка)")</f>
        <v>Ями (Новинка)</v>
      </c>
      <c r="B4" s="68">
        <v>16330</v>
      </c>
      <c r="C4" s="69">
        <v>2990</v>
      </c>
      <c r="D4" s="70">
        <f t="shared" ref="D4:D35" si="0">C4*(1-$C$131)</f>
        <v>2990</v>
      </c>
      <c r="E4" s="72"/>
      <c r="F4" s="71">
        <f t="shared" ref="F4:F10" si="1">C4*E4</f>
        <v>0</v>
      </c>
      <c r="G4" s="73">
        <f t="shared" ref="G4:G10" si="2">E4*D4</f>
        <v>0</v>
      </c>
      <c r="I4" s="46"/>
      <c r="J4" s="47"/>
    </row>
    <row r="5" spans="1:12" ht="30" customHeight="1" x14ac:dyDescent="0.25">
      <c r="A5" s="67" t="str">
        <f>HYPERLINK("https://www.crowdgames.ru/collection/primal-probuzhdenie", "Праймал. Пробуждение")</f>
        <v>Праймал. Пробуждение</v>
      </c>
      <c r="B5" s="66">
        <v>16407</v>
      </c>
      <c r="C5" s="66">
        <v>19990</v>
      </c>
      <c r="D5" s="70">
        <f t="shared" si="0"/>
        <v>19990</v>
      </c>
      <c r="E5" s="72"/>
      <c r="F5" s="71">
        <f t="shared" si="1"/>
        <v>0</v>
      </c>
      <c r="G5" s="73">
        <f t="shared" si="2"/>
        <v>0</v>
      </c>
      <c r="I5" s="46"/>
      <c r="J5" s="47"/>
    </row>
    <row r="6" spans="1:12" ht="30" customHeight="1" x14ac:dyDescent="0.25">
      <c r="A6" s="67" t="str">
        <f>HYPERLINK("https://www.crowdgames.ru/collection/primal-probuzhdenie", "Праймал. Кошмар (Дополнение)")</f>
        <v>Праймал. Кошмар (Дополнение)</v>
      </c>
      <c r="B6" s="66">
        <v>16408</v>
      </c>
      <c r="C6" s="66">
        <v>4490</v>
      </c>
      <c r="D6" s="70">
        <f t="shared" si="0"/>
        <v>4490</v>
      </c>
      <c r="E6" s="72"/>
      <c r="F6" s="71">
        <f t="shared" si="1"/>
        <v>0</v>
      </c>
      <c r="G6" s="73">
        <f t="shared" si="2"/>
        <v>0</v>
      </c>
      <c r="I6" s="46"/>
      <c r="J6" s="47"/>
    </row>
    <row r="7" spans="1:12" ht="30" customHeight="1" x14ac:dyDescent="0.25">
      <c r="A7" s="67" t="str">
        <f>HYPERLINK("https://www.crowdgames.ru/collection/primal-probuzhdenie", "Праймал. Гора Хаоса (Дополнение)")</f>
        <v>Праймал. Гора Хаоса (Дополнение)</v>
      </c>
      <c r="B7" s="66">
        <v>16409</v>
      </c>
      <c r="C7" s="66">
        <v>3990</v>
      </c>
      <c r="D7" s="70">
        <f t="shared" si="0"/>
        <v>3990</v>
      </c>
      <c r="E7" s="72"/>
      <c r="F7" s="71">
        <f t="shared" si="1"/>
        <v>0</v>
      </c>
      <c r="G7" s="73">
        <f t="shared" si="2"/>
        <v>0</v>
      </c>
      <c r="I7" s="46"/>
      <c r="J7" s="47"/>
    </row>
    <row r="8" spans="1:12" ht="30" customHeight="1" x14ac:dyDescent="0.25">
      <c r="A8" s="67" t="str">
        <f>HYPERLINK("https://www.crowdgames.ru/collection/primal-probuzhdenie", "Праймал. Перо (Дополнение)")</f>
        <v>Праймал. Перо (Дополнение)</v>
      </c>
      <c r="B8" s="66">
        <v>16412</v>
      </c>
      <c r="C8" s="66">
        <v>3990</v>
      </c>
      <c r="D8" s="70">
        <f t="shared" si="0"/>
        <v>3990</v>
      </c>
      <c r="E8" s="72"/>
      <c r="F8" s="71">
        <f t="shared" si="1"/>
        <v>0</v>
      </c>
      <c r="G8" s="73">
        <f t="shared" si="2"/>
        <v>0</v>
      </c>
      <c r="I8" s="46"/>
      <c r="J8" s="47"/>
    </row>
    <row r="9" spans="1:12" ht="30" customHeight="1" x14ac:dyDescent="0.25">
      <c r="A9" s="67" t="str">
        <f>HYPERLINK("https://www.crowdgames.ru/collection/primal-probuzhdenie", "Праймал. Яд (Дополнение)")</f>
        <v>Праймал. Яд (Дополнение)</v>
      </c>
      <c r="B9" s="66">
        <v>16410</v>
      </c>
      <c r="C9" s="66">
        <v>3990</v>
      </c>
      <c r="D9" s="70">
        <f t="shared" si="0"/>
        <v>3990</v>
      </c>
      <c r="E9" s="72"/>
      <c r="F9" s="71">
        <f t="shared" si="1"/>
        <v>0</v>
      </c>
      <c r="G9" s="73">
        <f t="shared" si="2"/>
        <v>0</v>
      </c>
      <c r="I9" s="46"/>
      <c r="J9" s="47"/>
    </row>
    <row r="10" spans="1:12" ht="30" customHeight="1" thickBot="1" x14ac:dyDescent="0.3">
      <c r="A10" s="67" t="str">
        <f>HYPERLINK("https://www.crowdgames.ru/collection/primal-probuzhdenie", "Праймал. Лёд (Дополнение)")</f>
        <v>Праймал. Лёд (Дополнение)</v>
      </c>
      <c r="B10" s="66">
        <v>16411</v>
      </c>
      <c r="C10" s="66">
        <v>3990</v>
      </c>
      <c r="D10" s="70">
        <f t="shared" si="0"/>
        <v>3990</v>
      </c>
      <c r="E10" s="72"/>
      <c r="F10" s="71">
        <f t="shared" si="1"/>
        <v>0</v>
      </c>
      <c r="G10" s="73">
        <f t="shared" si="2"/>
        <v>0</v>
      </c>
      <c r="I10" s="46"/>
      <c r="J10" s="47"/>
    </row>
    <row r="11" spans="1:12" ht="30" customHeight="1" thickBot="1" x14ac:dyDescent="0.3">
      <c r="A11" s="80" t="str">
        <f>HYPERLINK("https://www.crowdgames.ru/collection/anunnaki-rassvet-bogov", "Ануннаки. Рассвет богов")</f>
        <v>Ануннаки. Рассвет богов</v>
      </c>
      <c r="B11" s="77">
        <v>16222</v>
      </c>
      <c r="C11" s="78">
        <v>9490</v>
      </c>
      <c r="D11" s="79">
        <f t="shared" si="0"/>
        <v>9490</v>
      </c>
      <c r="E11" s="5"/>
      <c r="F11" s="4">
        <f t="shared" ref="F11:F42" si="3">C11*E11</f>
        <v>0</v>
      </c>
      <c r="G11" s="9">
        <f t="shared" ref="G11:G42" si="4">E11*D11</f>
        <v>0</v>
      </c>
      <c r="I11" s="141" t="s">
        <v>37</v>
      </c>
      <c r="J11" s="142"/>
      <c r="L11"/>
    </row>
    <row r="12" spans="1:12" ht="30" customHeight="1" x14ac:dyDescent="0.25">
      <c r="A12" s="76" t="str">
        <f>HYPERLINK("https://www.crowdgames.ru/collection/shop/product/putevoditel", "Аркхэм. Путеводитель")</f>
        <v>Аркхэм. Путеводитель</v>
      </c>
      <c r="B12" s="77">
        <v>16414</v>
      </c>
      <c r="C12" s="78">
        <v>990</v>
      </c>
      <c r="D12" s="79">
        <f t="shared" si="0"/>
        <v>990</v>
      </c>
      <c r="E12" s="5"/>
      <c r="F12" s="4">
        <f t="shared" si="3"/>
        <v>0</v>
      </c>
      <c r="G12" s="9">
        <f t="shared" si="4"/>
        <v>0</v>
      </c>
      <c r="I12" s="143" t="s">
        <v>12</v>
      </c>
      <c r="J12" s="144"/>
      <c r="L12"/>
    </row>
    <row r="13" spans="1:12" ht="30" customHeight="1" x14ac:dyDescent="0.25">
      <c r="A13" s="76" t="str">
        <f>HYPERLINK("https://www.crowdgames.ru/collection/shop/product/ahoy", "Ахой")</f>
        <v>Ахой</v>
      </c>
      <c r="B13" s="81">
        <v>16232</v>
      </c>
      <c r="C13" s="82">
        <v>4290</v>
      </c>
      <c r="D13" s="83">
        <f t="shared" si="0"/>
        <v>4290</v>
      </c>
      <c r="E13" s="5"/>
      <c r="F13" s="4">
        <f t="shared" si="3"/>
        <v>0</v>
      </c>
      <c r="G13" s="9">
        <f t="shared" si="4"/>
        <v>0</v>
      </c>
      <c r="I13" s="145"/>
      <c r="J13" s="146"/>
      <c r="L13"/>
    </row>
    <row r="14" spans="1:12" ht="30" customHeight="1" thickBot="1" x14ac:dyDescent="0.3">
      <c r="A14" s="76" t="str">
        <f>HYPERLINK("https://www.crowdgames.ru/collection/galakticheskiy-kruiz", "Галактический круиз")</f>
        <v>Галактический круиз</v>
      </c>
      <c r="B14" s="84">
        <v>16272</v>
      </c>
      <c r="C14" s="78">
        <v>10490</v>
      </c>
      <c r="D14" s="79">
        <f t="shared" si="0"/>
        <v>10490</v>
      </c>
      <c r="E14" s="5"/>
      <c r="F14" s="4">
        <f t="shared" si="3"/>
        <v>0</v>
      </c>
      <c r="G14" s="9">
        <f t="shared" si="4"/>
        <v>0</v>
      </c>
      <c r="I14" s="147"/>
      <c r="J14" s="148"/>
      <c r="L14"/>
    </row>
    <row r="15" spans="1:12" ht="30" customHeight="1" thickBot="1" x14ac:dyDescent="0.3">
      <c r="A15" s="85" t="str">
        <f>HYPERLINK("https://www.crowdgames.ru/collection/sladkozemie", "Галактический круиз. Комфорт")</f>
        <v>Галактический круиз. Комфорт</v>
      </c>
      <c r="B15" s="84">
        <v>16282</v>
      </c>
      <c r="C15" s="78">
        <v>1990</v>
      </c>
      <c r="D15" s="79">
        <f t="shared" si="0"/>
        <v>1990</v>
      </c>
      <c r="E15" s="5"/>
      <c r="F15" s="4">
        <f t="shared" si="3"/>
        <v>0</v>
      </c>
      <c r="G15" s="9">
        <f t="shared" si="4"/>
        <v>0</v>
      </c>
      <c r="I15" s="111" t="s">
        <v>13</v>
      </c>
      <c r="J15" s="90" t="s">
        <v>14</v>
      </c>
      <c r="L15"/>
    </row>
    <row r="16" spans="1:12" ht="30" customHeight="1" x14ac:dyDescent="0.25">
      <c r="A16" s="85" t="str">
        <f>HYPERLINK("https://www.crowdgames.ru/collection/galakticheskiy-kruiz","Галактический круиз. Прогресс")</f>
        <v>Галактический круиз. Прогресс</v>
      </c>
      <c r="B16" s="84">
        <v>16281</v>
      </c>
      <c r="C16" s="78">
        <v>1990</v>
      </c>
      <c r="D16" s="79">
        <f t="shared" si="0"/>
        <v>1990</v>
      </c>
      <c r="E16" s="5"/>
      <c r="F16" s="4">
        <f t="shared" si="3"/>
        <v>0</v>
      </c>
      <c r="G16" s="9">
        <f t="shared" si="4"/>
        <v>0</v>
      </c>
      <c r="I16" s="112">
        <v>20000</v>
      </c>
      <c r="J16" s="113">
        <v>0.3</v>
      </c>
      <c r="L16"/>
    </row>
    <row r="17" spans="1:12" ht="30" customHeight="1" x14ac:dyDescent="0.25">
      <c r="A17" s="89" t="str">
        <f>HYPERLINK("https://www.crowdgames.ru/collection/shop/product/galerist", "Галерист")</f>
        <v>Галерист</v>
      </c>
      <c r="B17" s="84">
        <v>16207</v>
      </c>
      <c r="C17" s="78">
        <v>10990</v>
      </c>
      <c r="D17" s="79">
        <f t="shared" si="0"/>
        <v>10990</v>
      </c>
      <c r="E17" s="5"/>
      <c r="F17" s="4">
        <f t="shared" si="3"/>
        <v>0</v>
      </c>
      <c r="G17" s="9">
        <f t="shared" si="4"/>
        <v>0</v>
      </c>
      <c r="I17" s="114">
        <v>32500</v>
      </c>
      <c r="J17" s="115">
        <v>0.32500000000000001</v>
      </c>
      <c r="L17"/>
    </row>
    <row r="18" spans="1:12" ht="30" customHeight="1" x14ac:dyDescent="0.25">
      <c r="A18" s="89" t="str">
        <f>HYPERLINK("https://www.crowdgames.ru/collection/grand-otel-avstriya", "Гранд-отель «Австрия». Второе издание
")</f>
        <v xml:space="preserve">Гранд-отель «Австрия». Второе издание
</v>
      </c>
      <c r="B18" s="84">
        <v>16212</v>
      </c>
      <c r="C18" s="78">
        <v>5990</v>
      </c>
      <c r="D18" s="79">
        <f t="shared" si="0"/>
        <v>5990</v>
      </c>
      <c r="E18" s="5"/>
      <c r="F18" s="4">
        <f t="shared" si="3"/>
        <v>0</v>
      </c>
      <c r="G18" s="9">
        <f t="shared" si="4"/>
        <v>0</v>
      </c>
      <c r="I18" s="114">
        <v>45000</v>
      </c>
      <c r="J18" s="115">
        <v>0.35</v>
      </c>
      <c r="L18"/>
    </row>
    <row r="19" spans="1:12" ht="30" customHeight="1" x14ac:dyDescent="0.25">
      <c r="A19" s="80" t="str">
        <f>HYPERLINK("https://www.crowdgames.ru/collection/grand-otel-avstriya-stantsuem-vals", "Гранд-отель «Австрия». Станцуем вальс!
 (Дополнение)")</f>
        <v>Гранд-отель «Австрия». Станцуем вальс!
 (Дополнение)</v>
      </c>
      <c r="B19" s="86">
        <v>16216</v>
      </c>
      <c r="C19" s="78">
        <v>3990</v>
      </c>
      <c r="D19" s="79">
        <f t="shared" si="0"/>
        <v>3990</v>
      </c>
      <c r="E19" s="5"/>
      <c r="F19" s="4">
        <f t="shared" si="3"/>
        <v>0</v>
      </c>
      <c r="G19" s="9">
        <f t="shared" si="4"/>
        <v>0</v>
      </c>
      <c r="I19" s="116">
        <v>60000</v>
      </c>
      <c r="J19" s="117">
        <v>0.375</v>
      </c>
      <c r="L19"/>
    </row>
    <row r="20" spans="1:12" ht="30" customHeight="1" thickBot="1" x14ac:dyDescent="0.3">
      <c r="A20" s="80" t="str">
        <f>HYPERLINK("https://www.crowdgames.ru/collection/dzhon-kompani-vtoroe-izdanie", "Джон Компани. Второе издание")</f>
        <v>Джон Компани. Второе издание</v>
      </c>
      <c r="B20" s="86">
        <v>16231</v>
      </c>
      <c r="C20" s="78">
        <v>9490</v>
      </c>
      <c r="D20" s="79">
        <f t="shared" si="0"/>
        <v>9490</v>
      </c>
      <c r="E20" s="5"/>
      <c r="F20" s="4">
        <f t="shared" si="3"/>
        <v>0</v>
      </c>
      <c r="G20" s="9">
        <f t="shared" si="4"/>
        <v>0</v>
      </c>
      <c r="I20" s="118">
        <v>90000</v>
      </c>
      <c r="J20" s="119">
        <v>0.4</v>
      </c>
      <c r="L20"/>
    </row>
    <row r="21" spans="1:12" ht="30" customHeight="1" x14ac:dyDescent="0.25">
      <c r="A21" s="76" t="str">
        <f>HYPERLINK("https://www.crowdgames.ru/collection/dom-fadu", "Дом фаду")</f>
        <v>Дом фаду</v>
      </c>
      <c r="B21" s="86">
        <v>16263</v>
      </c>
      <c r="C21" s="78">
        <v>6990</v>
      </c>
      <c r="D21" s="79">
        <f t="shared" si="0"/>
        <v>6990</v>
      </c>
      <c r="E21" s="5"/>
      <c r="F21" s="4">
        <f t="shared" si="3"/>
        <v>0</v>
      </c>
      <c r="G21" s="9">
        <f t="shared" si="4"/>
        <v>0</v>
      </c>
      <c r="I21" s="149" t="s">
        <v>15</v>
      </c>
      <c r="J21" s="150"/>
      <c r="L21"/>
    </row>
    <row r="22" spans="1:12" ht="30" customHeight="1" x14ac:dyDescent="0.25">
      <c r="A22" s="76" t="str">
        <f>HYPERLINK("https://www.crowdgames.ru/collection/za-korony", "За корону!")</f>
        <v>За корону!</v>
      </c>
      <c r="B22" s="86">
        <v>16322</v>
      </c>
      <c r="C22" s="78">
        <v>3990</v>
      </c>
      <c r="D22" s="79">
        <f t="shared" si="0"/>
        <v>3990</v>
      </c>
      <c r="E22" s="5"/>
      <c r="F22" s="4">
        <f t="shared" si="3"/>
        <v>0</v>
      </c>
      <c r="G22" s="9">
        <f t="shared" si="4"/>
        <v>0</v>
      </c>
      <c r="I22" s="151"/>
      <c r="J22" s="152"/>
      <c r="L22"/>
    </row>
    <row r="23" spans="1:12" ht="30" customHeight="1" x14ac:dyDescent="0.25">
      <c r="A23" s="76" t="str">
        <f>HYPERLINK("https://www.crowdgames.ru/collection/za-nortvud","«За Нортвуд!»")</f>
        <v>«За Нортвуд!»</v>
      </c>
      <c r="B23" s="86">
        <v>16325</v>
      </c>
      <c r="C23" s="78">
        <v>1290</v>
      </c>
      <c r="D23" s="79">
        <f t="shared" si="0"/>
        <v>1290</v>
      </c>
      <c r="E23" s="5"/>
      <c r="F23" s="4">
        <f t="shared" si="3"/>
        <v>0</v>
      </c>
      <c r="G23" s="9">
        <f t="shared" si="4"/>
        <v>0</v>
      </c>
      <c r="I23" s="151"/>
      <c r="J23" s="152"/>
      <c r="L23"/>
    </row>
    <row r="24" spans="1:12" ht="30" customHeight="1" x14ac:dyDescent="0.25">
      <c r="A24" s="76" t="str">
        <f>HYPERLINK("https://www.crowdgames.ru/collection/zapovednik-ischezayuschie-vidy", "Заповедник. Исчезающие виды")</f>
        <v>Заповедник. Исчезающие виды</v>
      </c>
      <c r="B24" s="86">
        <v>16300</v>
      </c>
      <c r="C24" s="78">
        <v>3400</v>
      </c>
      <c r="D24" s="79">
        <f t="shared" si="0"/>
        <v>3400</v>
      </c>
      <c r="E24" s="5"/>
      <c r="F24" s="4">
        <f t="shared" si="3"/>
        <v>0</v>
      </c>
      <c r="G24" s="9">
        <f t="shared" si="4"/>
        <v>0</v>
      </c>
      <c r="I24" s="151"/>
      <c r="J24" s="152"/>
      <c r="L24"/>
    </row>
    <row r="25" spans="1:12" ht="30" customHeight="1" x14ac:dyDescent="0.25">
      <c r="A25" s="76" t="str">
        <f>HYPERLINK("https://www.crowdgames.ru/collection/zvyozdy-akariosa", "Звёзды Акариоса")</f>
        <v>Звёзды Акариоса</v>
      </c>
      <c r="B25" s="87">
        <v>16258</v>
      </c>
      <c r="C25" s="78">
        <v>14990</v>
      </c>
      <c r="D25" s="79">
        <f t="shared" si="0"/>
        <v>14990</v>
      </c>
      <c r="E25" s="64"/>
      <c r="F25" s="63">
        <f t="shared" si="3"/>
        <v>0</v>
      </c>
      <c r="G25" s="65">
        <f t="shared" si="4"/>
        <v>0</v>
      </c>
      <c r="I25" s="151"/>
      <c r="J25" s="152"/>
      <c r="L25"/>
    </row>
    <row r="26" spans="1:12" ht="30" customHeight="1" x14ac:dyDescent="0.25">
      <c r="A26" s="76" t="str">
        <f>HYPERLINK("https://www.crowdgames.ru/collection/zvyozdy-akariosa", "Звёзды Акариоса. Битвы Акариоса (Дополнение)")</f>
        <v>Звёзды Акариоса. Битвы Акариоса (Дополнение)</v>
      </c>
      <c r="B26" s="87" t="s">
        <v>8</v>
      </c>
      <c r="C26" s="78">
        <v>3190</v>
      </c>
      <c r="D26" s="79">
        <f t="shared" si="0"/>
        <v>3190</v>
      </c>
      <c r="E26" s="50"/>
      <c r="F26" s="49">
        <f t="shared" si="3"/>
        <v>0</v>
      </c>
      <c r="G26" s="51">
        <f t="shared" si="4"/>
        <v>0</v>
      </c>
      <c r="I26" s="151"/>
      <c r="J26" s="152"/>
      <c r="L26"/>
    </row>
    <row r="27" spans="1:12" ht="30" customHeight="1" thickBot="1" x14ac:dyDescent="0.3">
      <c r="A27" s="76" t="str">
        <f>HYPERLINK("https://www.crowdgames.ru/collection/zvyozdy-akariosa", "Звёзды Акариоса. Дроны Акариоса (Дополнение)")</f>
        <v>Звёзды Акариоса. Дроны Акариоса (Дополнение)</v>
      </c>
      <c r="B27" s="87" t="s">
        <v>9</v>
      </c>
      <c r="C27" s="78">
        <v>3590</v>
      </c>
      <c r="D27" s="79">
        <f t="shared" si="0"/>
        <v>3590</v>
      </c>
      <c r="E27" s="50"/>
      <c r="F27" s="49">
        <f t="shared" si="3"/>
        <v>0</v>
      </c>
      <c r="G27" s="51">
        <f t="shared" si="4"/>
        <v>0</v>
      </c>
      <c r="I27" s="153"/>
      <c r="J27" s="154"/>
      <c r="L27"/>
    </row>
    <row r="28" spans="1:12" ht="30" customHeight="1" x14ac:dyDescent="0.25">
      <c r="A28" s="76" t="str">
        <f>HYPERLINK("https://www.crowdgames.ru/collection/zvyozdy-akariosa", "Звёзды Акариоса. Корабли Акариоса (Дополнение)")</f>
        <v>Звёзды Акариоса. Корабли Акариоса (Дополнение)</v>
      </c>
      <c r="B28" s="87" t="s">
        <v>10</v>
      </c>
      <c r="C28" s="78">
        <v>4990</v>
      </c>
      <c r="D28" s="79">
        <f t="shared" si="0"/>
        <v>4990</v>
      </c>
      <c r="E28" s="50"/>
      <c r="F28" s="49">
        <f t="shared" si="3"/>
        <v>0</v>
      </c>
      <c r="G28" s="51">
        <f t="shared" si="4"/>
        <v>0</v>
      </c>
      <c r="I28" s="46"/>
      <c r="L28"/>
    </row>
    <row r="29" spans="1:12" ht="30" customHeight="1" x14ac:dyDescent="0.25">
      <c r="A29" s="76" t="str">
        <f>HYPERLINK("https://www.crowdgames.ru/collection/zvyozdy-akariosa", "Звёзды Акариоса. Плеймат (Аксессуар)")</f>
        <v>Звёзды Акариоса. Плеймат (Аксессуар)</v>
      </c>
      <c r="B29" s="87" t="s">
        <v>11</v>
      </c>
      <c r="C29" s="78">
        <v>3750</v>
      </c>
      <c r="D29" s="79">
        <f t="shared" si="0"/>
        <v>3750</v>
      </c>
      <c r="E29" s="50"/>
      <c r="F29" s="49">
        <f t="shared" si="3"/>
        <v>0</v>
      </c>
      <c r="G29" s="51">
        <f t="shared" si="4"/>
        <v>0</v>
      </c>
      <c r="I29" s="46"/>
      <c r="L29"/>
    </row>
    <row r="30" spans="1:12" ht="30" customHeight="1" x14ac:dyDescent="0.25">
      <c r="A30" s="76" t="str">
        <f>HYPERLINK("https://www.crowdgames.ru/collection/zemlya-skazaniy", "Зелёный дом")</f>
        <v>Зелёный дом</v>
      </c>
      <c r="B30" s="86">
        <v>16219</v>
      </c>
      <c r="C30" s="78">
        <v>4290</v>
      </c>
      <c r="D30" s="79">
        <f t="shared" si="0"/>
        <v>4290</v>
      </c>
      <c r="E30" s="5"/>
      <c r="F30" s="4">
        <f t="shared" si="3"/>
        <v>0</v>
      </c>
      <c r="G30" s="9">
        <f t="shared" si="4"/>
        <v>0</v>
      </c>
      <c r="I30" s="46"/>
      <c r="L30"/>
    </row>
    <row r="31" spans="1:12" ht="30" customHeight="1" x14ac:dyDescent="0.25">
      <c r="A31" s="80" t="str">
        <f>HYPERLINK("https://www.crowdgames.ru/collection/zemlya-skazaniy", "Земля сказаний")</f>
        <v>Земля сказаний</v>
      </c>
      <c r="B31" s="86">
        <v>16208</v>
      </c>
      <c r="C31" s="78">
        <v>2690</v>
      </c>
      <c r="D31" s="79">
        <f t="shared" si="0"/>
        <v>2690</v>
      </c>
      <c r="E31" s="5"/>
      <c r="F31" s="4">
        <f t="shared" si="3"/>
        <v>0</v>
      </c>
      <c r="G31" s="9">
        <f t="shared" si="4"/>
        <v>0</v>
      </c>
      <c r="I31" s="46"/>
      <c r="L31"/>
    </row>
    <row r="32" spans="1:12" ht="30" customHeight="1" x14ac:dyDescent="0.25">
      <c r="A32" s="76" t="str">
        <f>HYPERLINK("https://www.crowdgames.ru/collection/zloveschaya-akademiya", "Зловещая академия")</f>
        <v>Зловещая академия</v>
      </c>
      <c r="B32" s="86">
        <v>16308</v>
      </c>
      <c r="C32" s="78">
        <v>2990</v>
      </c>
      <c r="D32" s="79">
        <f t="shared" si="0"/>
        <v>2990</v>
      </c>
      <c r="E32" s="5"/>
      <c r="F32" s="4">
        <f t="shared" si="3"/>
        <v>0</v>
      </c>
      <c r="G32" s="9">
        <f t="shared" si="4"/>
        <v>0</v>
      </c>
      <c r="I32" s="46"/>
      <c r="J32" s="47"/>
      <c r="L32"/>
    </row>
    <row r="33" spans="1:12" ht="30" customHeight="1" x14ac:dyDescent="0.25">
      <c r="A33" s="76" t="str">
        <f>HYPERLINK("https://www.crowdgames.ru/collection/zolotoy-kubok", "Золотой кубок")</f>
        <v>Золотой кубок</v>
      </c>
      <c r="B33" s="86">
        <v>16278</v>
      </c>
      <c r="C33" s="78">
        <v>4290</v>
      </c>
      <c r="D33" s="79">
        <f t="shared" si="0"/>
        <v>4290</v>
      </c>
      <c r="E33" s="5"/>
      <c r="F33" s="4">
        <f t="shared" si="3"/>
        <v>0</v>
      </c>
      <c r="G33" s="9">
        <f t="shared" si="4"/>
        <v>0</v>
      </c>
      <c r="L33"/>
    </row>
    <row r="34" spans="1:12" ht="30" customHeight="1" x14ac:dyDescent="0.25">
      <c r="A34" s="80" t="str">
        <f>HYPERLINK("https://www.crowdgames.ru/collection/izobreteniya-evolyutsiya-idey", "Изобретения. Эволюция идей")</f>
        <v>Изобретения. Эволюция идей</v>
      </c>
      <c r="B34" s="86">
        <v>16221</v>
      </c>
      <c r="C34" s="78">
        <v>14990</v>
      </c>
      <c r="D34" s="79">
        <f t="shared" si="0"/>
        <v>14990</v>
      </c>
      <c r="E34" s="5"/>
      <c r="F34" s="4">
        <f t="shared" si="3"/>
        <v>0</v>
      </c>
      <c r="G34" s="9">
        <f t="shared" si="4"/>
        <v>0</v>
      </c>
      <c r="H34" s="19"/>
      <c r="I34" s="16"/>
      <c r="J34" s="19"/>
      <c r="K34" s="19"/>
      <c r="L34"/>
    </row>
    <row r="35" spans="1:12" s="19" customFormat="1" ht="30" customHeight="1" x14ac:dyDescent="0.25">
      <c r="A35" s="76" t="str">
        <f>HYPERLINK("https://www.crowdgames.ru/collection/shop/product/insmut-putevoditel", "Инсмут. Путеводитель")</f>
        <v>Инсмут. Путеводитель</v>
      </c>
      <c r="B35" s="86">
        <v>16419</v>
      </c>
      <c r="C35" s="78">
        <v>990</v>
      </c>
      <c r="D35" s="79">
        <f t="shared" si="0"/>
        <v>990</v>
      </c>
      <c r="E35" s="5"/>
      <c r="F35" s="4">
        <f t="shared" si="3"/>
        <v>0</v>
      </c>
      <c r="G35" s="9">
        <f t="shared" si="4"/>
        <v>0</v>
      </c>
      <c r="H35" s="2"/>
      <c r="I35" s="16"/>
      <c r="K35" s="2"/>
      <c r="L35"/>
    </row>
    <row r="36" spans="1:12" ht="30" customHeight="1" x14ac:dyDescent="0.25">
      <c r="A36" s="76" t="str">
        <f>HYPERLINK("https://www.crowdgames.ru/collection/karta-zvyozd", "Карта звёзд")</f>
        <v>Карта звёзд</v>
      </c>
      <c r="B36" s="86">
        <v>16323</v>
      </c>
      <c r="C36" s="78">
        <v>1590</v>
      </c>
      <c r="D36" s="79">
        <f t="shared" ref="D36:D67" si="5">C36*(1-$C$131)</f>
        <v>1590</v>
      </c>
      <c r="E36" s="5"/>
      <c r="F36" s="4">
        <f t="shared" si="3"/>
        <v>0</v>
      </c>
      <c r="G36" s="9">
        <f t="shared" si="4"/>
        <v>0</v>
      </c>
      <c r="I36" s="20"/>
      <c r="L36"/>
    </row>
    <row r="37" spans="1:12" ht="30" customHeight="1" x14ac:dyDescent="0.25">
      <c r="A37" s="76" t="str">
        <f>HYPERLINK("https://www.crowdgames.ru/collection/kaskadiya", "Каскадия")</f>
        <v>Каскадия</v>
      </c>
      <c r="B37" s="86">
        <v>16172</v>
      </c>
      <c r="C37" s="78">
        <v>4290</v>
      </c>
      <c r="D37" s="79">
        <f t="shared" si="5"/>
        <v>4290</v>
      </c>
      <c r="E37" s="5"/>
      <c r="F37" s="4">
        <f t="shared" si="3"/>
        <v>0</v>
      </c>
      <c r="G37" s="9">
        <f t="shared" si="4"/>
        <v>0</v>
      </c>
      <c r="I37" s="20"/>
      <c r="L37"/>
    </row>
    <row r="38" spans="1:12" ht="30" customHeight="1" x14ac:dyDescent="0.25">
      <c r="A38" s="76" t="str">
        <f>HYPERLINK("https://www.crowdgames.ru/collection/shop/product/kemet-krov-i-pesok", "Кемет. Кровь и песок")</f>
        <v>Кемет. Кровь и песок</v>
      </c>
      <c r="B38" s="86">
        <v>16261</v>
      </c>
      <c r="C38" s="78">
        <v>9990</v>
      </c>
      <c r="D38" s="79">
        <f t="shared" si="5"/>
        <v>9990</v>
      </c>
      <c r="E38" s="5"/>
      <c r="F38" s="4">
        <f t="shared" si="3"/>
        <v>0</v>
      </c>
      <c r="G38" s="9">
        <f t="shared" si="4"/>
        <v>0</v>
      </c>
      <c r="I38" s="20"/>
      <c r="L38"/>
    </row>
    <row r="39" spans="1:12" ht="30" customHeight="1" x14ac:dyDescent="0.25">
      <c r="A39" s="76" t="str">
        <f>HYPERLINK("https://www.crowdgames.ru/collection/klubochki", "Клубочки")</f>
        <v>Клубочки</v>
      </c>
      <c r="B39" s="86">
        <v>16319</v>
      </c>
      <c r="C39" s="78">
        <v>3290</v>
      </c>
      <c r="D39" s="79">
        <f t="shared" si="5"/>
        <v>3290</v>
      </c>
      <c r="E39" s="5"/>
      <c r="F39" s="4">
        <f t="shared" si="3"/>
        <v>0</v>
      </c>
      <c r="G39" s="9">
        <f t="shared" si="4"/>
        <v>0</v>
      </c>
      <c r="I39" s="20"/>
      <c r="L39"/>
    </row>
    <row r="40" spans="1:12" ht="30" customHeight="1" x14ac:dyDescent="0.25">
      <c r="A40" s="76" t="str">
        <f>HYPERLINK("https://www.crowdgames.ru/collection/korni", "Корни")</f>
        <v>Корни</v>
      </c>
      <c r="B40" s="86">
        <v>16087</v>
      </c>
      <c r="C40" s="78">
        <v>4990</v>
      </c>
      <c r="D40" s="79">
        <f t="shared" si="5"/>
        <v>4990</v>
      </c>
      <c r="E40" s="5"/>
      <c r="F40" s="4">
        <f t="shared" si="3"/>
        <v>0</v>
      </c>
      <c r="G40" s="9">
        <f t="shared" si="4"/>
        <v>0</v>
      </c>
      <c r="I40" s="20"/>
      <c r="L40"/>
    </row>
    <row r="41" spans="1:12" ht="30" customHeight="1" x14ac:dyDescent="0.25">
      <c r="A41" s="80" t="str">
        <f>HYPERLINK("https://www.crowdgames.ru/collection/korni-izgnanniki-i-partizany", "Корни. Изгнанники и партизаны")</f>
        <v>Корни. Изгнанники и партизаны</v>
      </c>
      <c r="B41" s="86">
        <v>16140</v>
      </c>
      <c r="C41" s="78">
        <v>1090</v>
      </c>
      <c r="D41" s="79">
        <f t="shared" si="5"/>
        <v>1090</v>
      </c>
      <c r="E41" s="5"/>
      <c r="F41" s="4">
        <f t="shared" si="3"/>
        <v>0</v>
      </c>
      <c r="G41" s="9">
        <f t="shared" si="4"/>
        <v>0</v>
      </c>
      <c r="I41" s="20"/>
      <c r="L41"/>
    </row>
    <row r="42" spans="1:12" ht="30" customHeight="1" x14ac:dyDescent="0.25">
      <c r="A42" s="76" t="str">
        <f>HYPERLINK("https://www.crowdgames.ru/collection/korni-izgnanniki-i-partizany", "Корни. Мародёры")</f>
        <v>Корни. Мародёры</v>
      </c>
      <c r="B42" s="86">
        <v>16223</v>
      </c>
      <c r="C42" s="78">
        <v>4490</v>
      </c>
      <c r="D42" s="79">
        <f t="shared" si="5"/>
        <v>4490</v>
      </c>
      <c r="E42" s="5"/>
      <c r="F42" s="4">
        <f t="shared" si="3"/>
        <v>0</v>
      </c>
      <c r="G42" s="9">
        <f t="shared" si="4"/>
        <v>0</v>
      </c>
      <c r="I42" s="45"/>
      <c r="J42" s="45"/>
      <c r="L42"/>
    </row>
    <row r="43" spans="1:12" ht="30" customHeight="1" x14ac:dyDescent="0.25">
      <c r="A43" s="80" t="str">
        <f>HYPERLINK("https://www.crowdgames.ru/collection/korni-mehanizmy", "Корни. Механизмы")</f>
        <v>Корни. Механизмы</v>
      </c>
      <c r="B43" s="86">
        <v>16141</v>
      </c>
      <c r="C43" s="78">
        <v>2090</v>
      </c>
      <c r="D43" s="79">
        <f t="shared" si="5"/>
        <v>2090</v>
      </c>
      <c r="E43" s="5"/>
      <c r="F43" s="4">
        <f t="shared" ref="F43:F74" si="6">C43*E43</f>
        <v>0</v>
      </c>
      <c r="G43" s="9">
        <f t="shared" ref="G43:G74" si="7">E43*D43</f>
        <v>0</v>
      </c>
      <c r="I43" s="45"/>
      <c r="J43" s="45"/>
      <c r="L43"/>
    </row>
    <row r="44" spans="1:12" ht="30" customHeight="1" x14ac:dyDescent="0.25">
      <c r="A44" s="80" t="str">
        <f>HYPERLINK("https://www.crowdgames.ru/collection/korni-mehanizmy-2", "Корни. Механизмы 2")</f>
        <v>Корни. Механизмы 2</v>
      </c>
      <c r="B44" s="86">
        <v>16227</v>
      </c>
      <c r="C44" s="78">
        <v>2590</v>
      </c>
      <c r="D44" s="79">
        <f t="shared" si="5"/>
        <v>2590</v>
      </c>
      <c r="E44" s="5"/>
      <c r="F44" s="4">
        <f t="shared" si="6"/>
        <v>0</v>
      </c>
      <c r="G44" s="9">
        <f t="shared" si="7"/>
        <v>0</v>
      </c>
      <c r="I44" s="45"/>
      <c r="J44" s="45"/>
      <c r="L44"/>
    </row>
    <row r="45" spans="1:12" ht="30" customHeight="1" x14ac:dyDescent="0.25">
      <c r="A45" s="76" t="str">
        <f>HYPERLINK("https://www.crowdgames.ru/collection/korni-podzemnyi-mir", "Корни. Подземные рекрыты")</f>
        <v>Корни. Подземные рекрыты</v>
      </c>
      <c r="B45" s="86">
        <v>16225</v>
      </c>
      <c r="C45" s="78">
        <v>1690</v>
      </c>
      <c r="D45" s="79">
        <f t="shared" si="5"/>
        <v>1690</v>
      </c>
      <c r="E45" s="5"/>
      <c r="F45" s="4">
        <f t="shared" si="6"/>
        <v>0</v>
      </c>
      <c r="G45" s="9">
        <f t="shared" si="7"/>
        <v>0</v>
      </c>
      <c r="I45" s="43"/>
      <c r="J45" s="43"/>
      <c r="L45"/>
    </row>
    <row r="46" spans="1:12" ht="30" customHeight="1" x14ac:dyDescent="0.25">
      <c r="A46" s="76" t="str">
        <f>HYPERLINK("https://www.crowdgames.ru/collection/korni-podzemnyi-mir", "Корни. Подземный мир")</f>
        <v>Корни. Подземный мир</v>
      </c>
      <c r="B46" s="86">
        <v>16120</v>
      </c>
      <c r="C46" s="78">
        <v>4490</v>
      </c>
      <c r="D46" s="79">
        <f t="shared" si="5"/>
        <v>4490</v>
      </c>
      <c r="E46" s="5"/>
      <c r="F46" s="4">
        <f t="shared" si="6"/>
        <v>0</v>
      </c>
      <c r="G46" s="9">
        <f t="shared" si="7"/>
        <v>0</v>
      </c>
      <c r="I46" s="43"/>
      <c r="J46" s="43"/>
      <c r="L46"/>
    </row>
    <row r="47" spans="1:12" ht="30" customHeight="1" x14ac:dyDescent="0.25">
      <c r="A47" s="76" t="str">
        <f>HYPERLINK("https://www.crowdgames.ru/collection/korni-izgnanniki-i-partizany", "Корни. Рекрыты-мародёры")</f>
        <v>Корни. Рекрыты-мародёры</v>
      </c>
      <c r="B47" s="86">
        <v>16226</v>
      </c>
      <c r="C47" s="78">
        <v>2490</v>
      </c>
      <c r="D47" s="79">
        <f t="shared" si="5"/>
        <v>2490</v>
      </c>
      <c r="E47" s="5"/>
      <c r="F47" s="4">
        <f t="shared" si="6"/>
        <v>0</v>
      </c>
      <c r="G47" s="9">
        <f t="shared" si="7"/>
        <v>0</v>
      </c>
      <c r="I47" s="43"/>
      <c r="J47" s="43"/>
      <c r="L47"/>
    </row>
    <row r="48" spans="1:12" ht="30" customHeight="1" x14ac:dyDescent="0.25">
      <c r="A48" s="76" t="str">
        <f>HYPERLINK("https://www.crowdgames.ru/collection/korni-rechnoe-bratstvo", "Корни. Речное братство")</f>
        <v>Корни. Речное братство</v>
      </c>
      <c r="B48" s="86">
        <v>16102</v>
      </c>
      <c r="C48" s="78">
        <v>3490</v>
      </c>
      <c r="D48" s="79">
        <f t="shared" si="5"/>
        <v>3490</v>
      </c>
      <c r="E48" s="5"/>
      <c r="F48" s="4">
        <f t="shared" si="6"/>
        <v>0</v>
      </c>
      <c r="G48" s="9">
        <f t="shared" si="7"/>
        <v>0</v>
      </c>
      <c r="I48" s="43"/>
      <c r="J48" s="43"/>
      <c r="L48"/>
    </row>
    <row r="49" spans="1:12" ht="30" customHeight="1" x14ac:dyDescent="0.25">
      <c r="A49" s="76" t="str">
        <f>HYPERLINK("https://www.crowdgames.ru/collection/korni-rechnoe-bratstvo", "Корни. Речные рекруты")</f>
        <v>Корни. Речные рекруты</v>
      </c>
      <c r="B49" s="86">
        <v>16224</v>
      </c>
      <c r="C49" s="78">
        <v>1690</v>
      </c>
      <c r="D49" s="79">
        <f t="shared" si="5"/>
        <v>1690</v>
      </c>
      <c r="E49" s="5"/>
      <c r="F49" s="4">
        <f t="shared" si="6"/>
        <v>0</v>
      </c>
      <c r="G49" s="9">
        <f t="shared" si="7"/>
        <v>0</v>
      </c>
      <c r="I49" s="43"/>
      <c r="J49" s="43"/>
      <c r="L49"/>
    </row>
    <row r="50" spans="1:12" ht="30" customHeight="1" x14ac:dyDescent="0.25">
      <c r="A50" s="76" t="str">
        <f>HYPERLINK("https://www.crowdgames.ru/collection/gazirovka", "Котокомбо")</f>
        <v>Котокомбо</v>
      </c>
      <c r="B50" s="86">
        <v>16304</v>
      </c>
      <c r="C50" s="78">
        <v>1090</v>
      </c>
      <c r="D50" s="79">
        <f t="shared" si="5"/>
        <v>1090</v>
      </c>
      <c r="E50" s="5"/>
      <c r="F50" s="4">
        <f t="shared" si="6"/>
        <v>0</v>
      </c>
      <c r="G50" s="9">
        <f t="shared" si="7"/>
        <v>0</v>
      </c>
      <c r="I50" s="43"/>
      <c r="J50" s="43"/>
      <c r="L50"/>
    </row>
    <row r="51" spans="1:12" ht="30" customHeight="1" x14ac:dyDescent="0.25">
      <c r="A51" s="76" t="str">
        <f>HYPERLINK("https://www.crowdgames.ru/collection/shop/product/krov-i-yarost", "Кровь и Ярость")</f>
        <v>Кровь и Ярость</v>
      </c>
      <c r="B51" s="86">
        <v>16009</v>
      </c>
      <c r="C51" s="78">
        <v>8990</v>
      </c>
      <c r="D51" s="79">
        <f t="shared" si="5"/>
        <v>8990</v>
      </c>
      <c r="E51" s="5"/>
      <c r="F51" s="4">
        <f t="shared" si="6"/>
        <v>0</v>
      </c>
      <c r="G51" s="9">
        <f t="shared" si="7"/>
        <v>0</v>
      </c>
      <c r="I51" s="43"/>
      <c r="J51" s="43"/>
      <c r="L51"/>
    </row>
    <row r="52" spans="1:12" ht="30" customHeight="1" x14ac:dyDescent="0.25">
      <c r="A52" s="76" t="str">
        <f>HYPERLINK("https://www.crowdgames.ru/collection/shop/product/krov-i-yarost-bogi-asgarda", "Кровь и Ярость. Боги Асгарда")</f>
        <v>Кровь и Ярость. Боги Асгарда</v>
      </c>
      <c r="B52" s="86">
        <v>16027</v>
      </c>
      <c r="C52" s="78">
        <v>2090</v>
      </c>
      <c r="D52" s="79">
        <f t="shared" si="5"/>
        <v>2090</v>
      </c>
      <c r="E52" s="5"/>
      <c r="F52" s="4">
        <f t="shared" si="6"/>
        <v>0</v>
      </c>
      <c r="G52" s="9">
        <f t="shared" si="7"/>
        <v>0</v>
      </c>
      <c r="I52" s="43"/>
      <c r="J52" s="43"/>
      <c r="L52"/>
    </row>
    <row r="53" spans="1:12" ht="30" customHeight="1" x14ac:dyDescent="0.25">
      <c r="A53" s="76" t="str">
        <f>HYPERLINK("https://www.crowdgames.ru/collection/shop/product/krov-i-yarost-kolduny-midgarda", "Кровь и Ярость. Колдуны Мидгарда")</f>
        <v>Кровь и Ярость. Колдуны Мидгарда</v>
      </c>
      <c r="B53" s="86">
        <v>16028</v>
      </c>
      <c r="C53" s="78">
        <v>2690</v>
      </c>
      <c r="D53" s="79">
        <f t="shared" si="5"/>
        <v>2690</v>
      </c>
      <c r="E53" s="5"/>
      <c r="F53" s="4">
        <f t="shared" si="6"/>
        <v>0</v>
      </c>
      <c r="G53" s="9">
        <f t="shared" si="7"/>
        <v>0</v>
      </c>
      <c r="I53" s="46"/>
      <c r="J53" s="47"/>
      <c r="L53"/>
    </row>
    <row r="54" spans="1:12" ht="30" customHeight="1" x14ac:dyDescent="0.25">
      <c r="A54" s="76" t="str">
        <f>HYPERLINK("https://www.crowdgames.ru/collection/la-granha-deluxe", "Ла-Гранха. Коллекционное издание (Новинка)")</f>
        <v>Ла-Гранха. Коллекционное издание (Новинка)</v>
      </c>
      <c r="B54" s="87">
        <v>16444</v>
      </c>
      <c r="C54" s="78">
        <v>9990</v>
      </c>
      <c r="D54" s="79">
        <f t="shared" si="5"/>
        <v>9990</v>
      </c>
      <c r="E54" s="72"/>
      <c r="F54" s="71">
        <f t="shared" si="6"/>
        <v>0</v>
      </c>
      <c r="G54" s="73">
        <f t="shared" si="7"/>
        <v>0</v>
      </c>
      <c r="I54" s="46"/>
      <c r="J54" s="47"/>
      <c r="L54"/>
    </row>
    <row r="55" spans="1:12" ht="30" customHeight="1" x14ac:dyDescent="0.25">
      <c r="A55" s="76" t="str">
        <f>HYPERLINK("https://www.crowdgames.ru/collection/malenkaya-kaskadiya", "Маленькая Каскадия")</f>
        <v>Маленькая Каскадия</v>
      </c>
      <c r="B55" s="86">
        <v>16301</v>
      </c>
      <c r="C55" s="78">
        <v>3290</v>
      </c>
      <c r="D55" s="79">
        <f t="shared" si="5"/>
        <v>3290</v>
      </c>
      <c r="E55" s="5"/>
      <c r="F55" s="4">
        <f t="shared" si="6"/>
        <v>0</v>
      </c>
      <c r="G55" s="9">
        <f t="shared" si="7"/>
        <v>0</v>
      </c>
      <c r="I55" s="43"/>
      <c r="J55" s="43"/>
      <c r="L55"/>
    </row>
    <row r="56" spans="1:12" ht="30" customHeight="1" x14ac:dyDescent="0.25">
      <c r="A56" s="76" t="str">
        <f>HYPERLINK("https://www.crowdgames.ru/collection/marshrut-postroen", "Маршрут построен")</f>
        <v>Маршрут построен</v>
      </c>
      <c r="B56" s="86">
        <v>16247</v>
      </c>
      <c r="C56" s="78">
        <v>3490</v>
      </c>
      <c r="D56" s="79">
        <f t="shared" si="5"/>
        <v>3490</v>
      </c>
      <c r="E56" s="5"/>
      <c r="F56" s="4">
        <f t="shared" si="6"/>
        <v>0</v>
      </c>
      <c r="G56" s="9">
        <f t="shared" si="7"/>
        <v>0</v>
      </c>
      <c r="I56" s="45"/>
      <c r="J56" s="45"/>
      <c r="L56"/>
    </row>
    <row r="57" spans="1:12" ht="30" customHeight="1" x14ac:dyDescent="0.25">
      <c r="A57" s="80" t="str">
        <f>HYPERLINK("https://www.crowdgames.ru/collection/shop/product/mastera-plameni", "Мастера пламени")</f>
        <v>Мастера пламени</v>
      </c>
      <c r="B57" s="86">
        <v>16179</v>
      </c>
      <c r="C57" s="78">
        <v>4250</v>
      </c>
      <c r="D57" s="79">
        <f t="shared" si="5"/>
        <v>4250</v>
      </c>
      <c r="E57" s="5"/>
      <c r="F57" s="4">
        <f t="shared" si="6"/>
        <v>0</v>
      </c>
      <c r="G57" s="9">
        <f t="shared" si="7"/>
        <v>0</v>
      </c>
      <c r="I57" s="43"/>
      <c r="J57" s="43"/>
      <c r="L57"/>
    </row>
    <row r="58" spans="1:12" ht="30" customHeight="1" x14ac:dyDescent="0.25">
      <c r="A58" s="76" t="str">
        <f>HYPERLINK("https://www.crowdgames.ru/collection/machina-arcana-russkoe-izdanie", "Машина Аркана. Русское издание (Machina Arcana)")</f>
        <v>Машина Аркана. Русское издание (Machina Arcana)</v>
      </c>
      <c r="B58" s="86">
        <v>16236</v>
      </c>
      <c r="C58" s="78">
        <v>8490</v>
      </c>
      <c r="D58" s="79">
        <f t="shared" si="5"/>
        <v>8490</v>
      </c>
      <c r="E58" s="5"/>
      <c r="F58" s="4">
        <f t="shared" si="6"/>
        <v>0</v>
      </c>
      <c r="G58" s="9">
        <f t="shared" si="7"/>
        <v>0</v>
      </c>
      <c r="I58" s="43"/>
      <c r="J58" s="43"/>
      <c r="L58"/>
    </row>
    <row r="59" spans="1:12" ht="30" customHeight="1" x14ac:dyDescent="0.25">
      <c r="A59" s="80" t="str">
        <f>HYPERLINK("https://www.crowdgames.ru/collection/melnitsa-milye-tayny", "Мельница. Милые тайны")</f>
        <v>Мельница. Милые тайны</v>
      </c>
      <c r="B59" s="86">
        <v>16161</v>
      </c>
      <c r="C59" s="78">
        <v>750</v>
      </c>
      <c r="D59" s="79">
        <f t="shared" si="5"/>
        <v>750</v>
      </c>
      <c r="E59" s="5"/>
      <c r="F59" s="4">
        <f t="shared" si="6"/>
        <v>0</v>
      </c>
      <c r="G59" s="9">
        <f t="shared" si="7"/>
        <v>0</v>
      </c>
      <c r="I59" s="43"/>
      <c r="J59" s="43"/>
      <c r="L59"/>
    </row>
    <row r="60" spans="1:12" ht="30" customHeight="1" x14ac:dyDescent="0.25">
      <c r="A60" s="76" t="str">
        <f>HYPERLINK("https://www.crowdgames.ru/collection/morskoy-patrul", "Морской патруль")</f>
        <v>Морской патруль</v>
      </c>
      <c r="B60" s="86">
        <v>16199</v>
      </c>
      <c r="C60" s="78">
        <v>2090</v>
      </c>
      <c r="D60" s="79">
        <f t="shared" si="5"/>
        <v>2090</v>
      </c>
      <c r="E60" s="5"/>
      <c r="F60" s="4">
        <f t="shared" si="6"/>
        <v>0</v>
      </c>
      <c r="G60" s="9">
        <f t="shared" si="7"/>
        <v>0</v>
      </c>
      <c r="I60" s="43"/>
      <c r="J60" s="43"/>
      <c r="L60"/>
    </row>
    <row r="61" spans="1:12" ht="30" customHeight="1" x14ac:dyDescent="0.25">
      <c r="A61" s="76" t="str">
        <f>HYPERLINK("https://www.crowdgames.ru/collection/morskoy-patrul", "Морской патруль. Корабли и берега")</f>
        <v>Морской патруль. Корабли и берега</v>
      </c>
      <c r="B61" s="86">
        <v>16264</v>
      </c>
      <c r="C61" s="78">
        <v>1300</v>
      </c>
      <c r="D61" s="79">
        <f t="shared" si="5"/>
        <v>1300</v>
      </c>
      <c r="E61" s="5"/>
      <c r="F61" s="4">
        <f t="shared" si="6"/>
        <v>0</v>
      </c>
      <c r="G61" s="9">
        <f t="shared" si="7"/>
        <v>0</v>
      </c>
      <c r="I61" s="43"/>
      <c r="J61" s="43"/>
      <c r="L61"/>
    </row>
    <row r="62" spans="1:12" ht="30" customHeight="1" x14ac:dyDescent="0.25">
      <c r="A62" s="80" t="str">
        <f>HYPERLINK("https://www.crowdgames.ru/collection/neizvestnaya-planeta", "Неизвестная планета")</f>
        <v>Неизвестная планета</v>
      </c>
      <c r="B62" s="86">
        <v>16151</v>
      </c>
      <c r="C62" s="78">
        <v>8490</v>
      </c>
      <c r="D62" s="79">
        <f t="shared" si="5"/>
        <v>8490</v>
      </c>
      <c r="E62" s="5"/>
      <c r="F62" s="4">
        <f t="shared" si="6"/>
        <v>0</v>
      </c>
      <c r="G62" s="9">
        <f t="shared" si="7"/>
        <v>0</v>
      </c>
      <c r="I62" s="43"/>
      <c r="J62" s="43"/>
      <c r="L62"/>
    </row>
    <row r="63" spans="1:12" ht="30" customHeight="1" x14ac:dyDescent="0.25">
      <c r="A63" s="76" t="str">
        <f>HYPERLINK("https://www.crowdgames.ru/collection/neizvestnaya-planeta-superlunie", "Неизвестная планета. Суперлуние")</f>
        <v>Неизвестная планета. Суперлуние</v>
      </c>
      <c r="B63" s="86">
        <v>16257</v>
      </c>
      <c r="C63" s="78">
        <v>4290</v>
      </c>
      <c r="D63" s="79">
        <f t="shared" si="5"/>
        <v>4290</v>
      </c>
      <c r="E63" s="5"/>
      <c r="F63" s="4">
        <f t="shared" si="6"/>
        <v>0</v>
      </c>
      <c r="G63" s="9">
        <f t="shared" si="7"/>
        <v>0</v>
      </c>
      <c r="I63" s="43"/>
      <c r="J63" s="43"/>
      <c r="L63"/>
    </row>
    <row r="64" spans="1:12" ht="30" customHeight="1" x14ac:dyDescent="0.25">
      <c r="A64" s="76" t="str">
        <f>HYPERLINK("https://www.crowdgames.ru/collection/plotina-zamorskie-kompanii", "Ниппон. Дзайбацу")</f>
        <v>Ниппон. Дзайбацу</v>
      </c>
      <c r="B64" s="87">
        <v>16435</v>
      </c>
      <c r="C64" s="78">
        <v>7990</v>
      </c>
      <c r="D64" s="79">
        <f t="shared" si="5"/>
        <v>7990</v>
      </c>
      <c r="E64" s="64"/>
      <c r="F64" s="63">
        <f t="shared" si="6"/>
        <v>0</v>
      </c>
      <c r="G64" s="65">
        <f t="shared" si="7"/>
        <v>0</v>
      </c>
      <c r="I64" s="43"/>
      <c r="J64" s="43"/>
      <c r="L64"/>
    </row>
    <row r="65" spans="1:12" ht="30" customHeight="1" x14ac:dyDescent="0.25">
      <c r="A65" s="80" t="str">
        <f>HYPERLINK("https://www.crowdgames.ru/collection/obet","Обет")</f>
        <v>Обет</v>
      </c>
      <c r="B65" s="86">
        <v>16181</v>
      </c>
      <c r="C65" s="78">
        <v>9900</v>
      </c>
      <c r="D65" s="79">
        <f t="shared" si="5"/>
        <v>9900</v>
      </c>
      <c r="E65" s="5"/>
      <c r="F65" s="4">
        <f t="shared" si="6"/>
        <v>0</v>
      </c>
      <c r="G65" s="9">
        <f t="shared" si="7"/>
        <v>0</v>
      </c>
      <c r="I65" s="43"/>
      <c r="J65" s="43"/>
      <c r="L65"/>
    </row>
    <row r="66" spans="1:12" ht="30" customHeight="1" x14ac:dyDescent="0.25">
      <c r="A66" s="76" t="str">
        <f>HYPERLINK("https://www.crowdgames.ru/collection/shop/product/opustoshenie", "Опустошение")</f>
        <v>Опустошение</v>
      </c>
      <c r="B66" s="86">
        <v>16213</v>
      </c>
      <c r="C66" s="78">
        <v>11990</v>
      </c>
      <c r="D66" s="79">
        <f t="shared" si="5"/>
        <v>11990</v>
      </c>
      <c r="E66" s="101"/>
      <c r="F66" s="102">
        <f t="shared" si="6"/>
        <v>0</v>
      </c>
      <c r="G66" s="103">
        <f t="shared" si="7"/>
        <v>0</v>
      </c>
      <c r="I66" s="43"/>
      <c r="J66" s="43"/>
      <c r="L66"/>
    </row>
    <row r="67" spans="1:12" ht="30" customHeight="1" x14ac:dyDescent="0.25">
      <c r="A67" s="91" t="str">
        <f>HYPERLINK("https://www.crowdgames.ru/collection/aftermath","Отголоски")</f>
        <v>Отголоски</v>
      </c>
      <c r="B67" s="92">
        <v>16119</v>
      </c>
      <c r="C67" s="93">
        <v>6990</v>
      </c>
      <c r="D67" s="94">
        <f t="shared" si="5"/>
        <v>6990</v>
      </c>
      <c r="E67" s="104"/>
      <c r="F67" s="105">
        <f t="shared" si="6"/>
        <v>0</v>
      </c>
      <c r="G67" s="106">
        <f t="shared" si="7"/>
        <v>0</v>
      </c>
      <c r="I67" s="16"/>
      <c r="L67"/>
    </row>
    <row r="68" spans="1:12" ht="30" customHeight="1" x14ac:dyDescent="0.25">
      <c r="A68" s="107" t="s">
        <v>35</v>
      </c>
      <c r="B68" s="98">
        <v>16248</v>
      </c>
      <c r="C68" s="99">
        <v>9490</v>
      </c>
      <c r="D68" s="100">
        <f t="shared" ref="D68:D99" si="8">C68*(1-$C$131)</f>
        <v>9490</v>
      </c>
      <c r="E68" s="108"/>
      <c r="F68" s="109">
        <f t="shared" si="6"/>
        <v>0</v>
      </c>
      <c r="G68" s="110">
        <f t="shared" si="7"/>
        <v>0</v>
      </c>
      <c r="I68" s="16"/>
      <c r="L68"/>
    </row>
    <row r="69" spans="1:12" ht="30" customHeight="1" x14ac:dyDescent="0.25">
      <c r="A69" s="120" t="s">
        <v>36</v>
      </c>
      <c r="B69" s="122">
        <v>16246</v>
      </c>
      <c r="C69" s="123">
        <v>5790</v>
      </c>
      <c r="D69" s="124">
        <f t="shared" si="8"/>
        <v>5790</v>
      </c>
      <c r="E69" s="125"/>
      <c r="F69" s="126">
        <f t="shared" si="6"/>
        <v>0</v>
      </c>
      <c r="G69" s="110">
        <f t="shared" si="7"/>
        <v>0</v>
      </c>
      <c r="I69" s="16"/>
      <c r="L69"/>
    </row>
    <row r="70" spans="1:12" ht="30" customHeight="1" x14ac:dyDescent="0.25">
      <c r="A70" s="127" t="s">
        <v>34</v>
      </c>
      <c r="B70" s="98">
        <v>16318</v>
      </c>
      <c r="C70" s="99">
        <v>1890</v>
      </c>
      <c r="D70" s="100">
        <f t="shared" si="8"/>
        <v>1890</v>
      </c>
      <c r="E70" s="108"/>
      <c r="F70" s="109">
        <f t="shared" si="6"/>
        <v>0</v>
      </c>
      <c r="G70" s="121">
        <f t="shared" si="7"/>
        <v>0</v>
      </c>
      <c r="I70" s="16"/>
      <c r="L70"/>
    </row>
    <row r="71" spans="1:12" ht="30" customHeight="1" x14ac:dyDescent="0.25">
      <c r="A71" s="95" t="str">
        <f>HYPERLINK("https://www.crowdgames.ru/collection/pariaschii-gorod","Парящий город")</f>
        <v>Парящий город</v>
      </c>
      <c r="B71" s="96">
        <v>16283</v>
      </c>
      <c r="C71" s="82">
        <v>10490</v>
      </c>
      <c r="D71" s="83">
        <f t="shared" si="8"/>
        <v>10490</v>
      </c>
      <c r="E71" s="97"/>
      <c r="F71" s="74">
        <f t="shared" si="6"/>
        <v>0</v>
      </c>
      <c r="G71" s="9">
        <f t="shared" si="7"/>
        <v>0</v>
      </c>
      <c r="I71" s="43"/>
      <c r="J71" s="43"/>
      <c r="L71"/>
    </row>
    <row r="72" spans="1:12" ht="30" customHeight="1" x14ac:dyDescent="0.25">
      <c r="A72" s="76" t="str">
        <f>HYPERLINK("https://www.crowdgames.ru/collection/pax-illuminaten-russkoe-izdanie", "Плеймат для игры «Pax Illuminaten. Русское издание»")</f>
        <v>Плеймат для игры «Pax Illuminaten. Русское издание»</v>
      </c>
      <c r="B72" s="86" t="s">
        <v>16</v>
      </c>
      <c r="C72" s="78">
        <v>3690</v>
      </c>
      <c r="D72" s="79">
        <f t="shared" si="8"/>
        <v>3690</v>
      </c>
      <c r="E72" s="5"/>
      <c r="F72" s="4">
        <f t="shared" si="6"/>
        <v>0</v>
      </c>
      <c r="G72" s="9">
        <f t="shared" si="7"/>
        <v>0</v>
      </c>
      <c r="I72" s="46"/>
      <c r="J72" s="47"/>
      <c r="L72"/>
    </row>
    <row r="73" spans="1:12" s="19" customFormat="1" ht="30" customHeight="1" x14ac:dyDescent="0.25">
      <c r="A73" s="76" t="str">
        <f>HYPERLINK("https://www.crowdgames.ru/collection/plotina", "Плотина")</f>
        <v>Плотина</v>
      </c>
      <c r="B73" s="86">
        <v>16112</v>
      </c>
      <c r="C73" s="78">
        <v>7290</v>
      </c>
      <c r="D73" s="79">
        <f t="shared" si="8"/>
        <v>7290</v>
      </c>
      <c r="E73" s="5"/>
      <c r="F73" s="4">
        <f t="shared" si="6"/>
        <v>0</v>
      </c>
      <c r="G73" s="9">
        <f t="shared" si="7"/>
        <v>0</v>
      </c>
      <c r="L73"/>
    </row>
    <row r="74" spans="1:12" ht="30" customHeight="1" x14ac:dyDescent="0.25">
      <c r="A74" s="76" t="str">
        <f>HYPERLINK("https://www.crowdgames.ru/collection/zvyozdy-akariosa", "Плотина. Заморские компании (Дополнение)")</f>
        <v>Плотина. Заморские компании (Дополнение)</v>
      </c>
      <c r="B74" s="87">
        <v>16446</v>
      </c>
      <c r="C74" s="78">
        <v>3490</v>
      </c>
      <c r="D74" s="79">
        <f t="shared" si="8"/>
        <v>3490</v>
      </c>
      <c r="E74" s="72"/>
      <c r="F74" s="71">
        <f t="shared" si="6"/>
        <v>0</v>
      </c>
      <c r="G74" s="73">
        <f t="shared" si="7"/>
        <v>0</v>
      </c>
      <c r="I74" s="48"/>
      <c r="L74"/>
    </row>
    <row r="75" spans="1:12" ht="30" customHeight="1" x14ac:dyDescent="0.25">
      <c r="A75" s="76" t="str">
        <f>HYPERLINK("https://www.crowdgames.ru/collection/shop/product/plotina-novye-zemli-mosty-kolorado", "Плотина. Новые земли. Мосты Колорадо")</f>
        <v>Плотина. Новые земли. Мосты Колорадо</v>
      </c>
      <c r="B75" s="86">
        <v>16245</v>
      </c>
      <c r="C75" s="78">
        <v>1690</v>
      </c>
      <c r="D75" s="79">
        <f t="shared" si="8"/>
        <v>1690</v>
      </c>
      <c r="E75" s="5"/>
      <c r="F75" s="4">
        <f t="shared" ref="F75:F106" si="9">C75*E75</f>
        <v>0</v>
      </c>
      <c r="G75" s="9">
        <f t="shared" ref="G75:G106" si="10">E75*D75</f>
        <v>0</v>
      </c>
      <c r="I75" s="43"/>
      <c r="J75" s="43"/>
      <c r="L75"/>
    </row>
    <row r="76" spans="1:12" s="19" customFormat="1" ht="30" customHeight="1" x14ac:dyDescent="0.25">
      <c r="A76" s="76" t="str">
        <f>HYPERLINK("https://www.crowdgames.ru/collection/barrage-leeghwater-project", "Плотина. Проект «Легватер»")</f>
        <v>Плотина. Проект «Легватер»</v>
      </c>
      <c r="B76" s="86">
        <v>16113</v>
      </c>
      <c r="C76" s="78">
        <v>3090</v>
      </c>
      <c r="D76" s="79">
        <f t="shared" si="8"/>
        <v>3090</v>
      </c>
      <c r="E76" s="5"/>
      <c r="F76" s="4">
        <f t="shared" si="9"/>
        <v>0</v>
      </c>
      <c r="G76" s="9">
        <f t="shared" si="10"/>
        <v>0</v>
      </c>
      <c r="L76"/>
    </row>
    <row r="77" spans="1:12" ht="30" customHeight="1" x14ac:dyDescent="0.25">
      <c r="A77" s="76" t="str">
        <f>HYPERLINK("https://www.crowdgames.ru/collection/plotina-pyatyy-igrok", "Плотина. Пятый игрок")</f>
        <v>Плотина. Пятый игрок</v>
      </c>
      <c r="B77" s="86">
        <v>16171</v>
      </c>
      <c r="C77" s="78">
        <v>3090</v>
      </c>
      <c r="D77" s="79">
        <f t="shared" si="8"/>
        <v>3090</v>
      </c>
      <c r="E77" s="5"/>
      <c r="F77" s="4">
        <f t="shared" si="9"/>
        <v>0</v>
      </c>
      <c r="G77" s="9">
        <f t="shared" si="10"/>
        <v>0</v>
      </c>
      <c r="I77" s="48"/>
      <c r="L77"/>
    </row>
    <row r="78" spans="1:12" ht="30" customHeight="1" x14ac:dyDescent="0.25">
      <c r="A78" s="80" t="str">
        <f>HYPERLINK("https://www.crowdgames.ru/collection/shop/product/plyushevye-skazki-oh-bratets", "Плюшевые сказки. Ох, братец! (Дополнение)")</f>
        <v>Плюшевые сказки. Ох, братец! (Дополнение)</v>
      </c>
      <c r="B78" s="86">
        <v>16171</v>
      </c>
      <c r="C78" s="78">
        <v>3690</v>
      </c>
      <c r="D78" s="79">
        <f t="shared" si="8"/>
        <v>3690</v>
      </c>
      <c r="E78" s="5"/>
      <c r="F78" s="4">
        <f t="shared" si="9"/>
        <v>0</v>
      </c>
      <c r="G78" s="9">
        <f t="shared" si="10"/>
        <v>0</v>
      </c>
      <c r="I78" s="43"/>
      <c r="J78" s="43"/>
      <c r="L78"/>
    </row>
    <row r="79" spans="1:12" s="19" customFormat="1" ht="30" customHeight="1" x14ac:dyDescent="0.25">
      <c r="A79" s="80" t="str">
        <f>HYPERLINK("https://www.crowdgames.ru/collection/pobeg-iz-vistara", "Побег из Вистара")</f>
        <v>Побег из Вистара</v>
      </c>
      <c r="B79" s="86">
        <v>16237</v>
      </c>
      <c r="C79" s="78">
        <v>6050</v>
      </c>
      <c r="D79" s="79">
        <f t="shared" si="8"/>
        <v>6050</v>
      </c>
      <c r="E79" s="5"/>
      <c r="F79" s="4">
        <f t="shared" si="9"/>
        <v>0</v>
      </c>
      <c r="G79" s="9">
        <f t="shared" si="10"/>
        <v>0</v>
      </c>
      <c r="L79"/>
    </row>
    <row r="80" spans="1:12" s="19" customFormat="1" ht="30" customHeight="1" x14ac:dyDescent="0.25">
      <c r="A80" s="76" t="s">
        <v>17</v>
      </c>
      <c r="B80" s="86">
        <v>16324</v>
      </c>
      <c r="C80" s="78">
        <v>2590</v>
      </c>
      <c r="D80" s="79">
        <f t="shared" si="8"/>
        <v>2590</v>
      </c>
      <c r="E80" s="5"/>
      <c r="F80" s="4">
        <f t="shared" si="9"/>
        <v>0</v>
      </c>
      <c r="G80" s="9">
        <f t="shared" si="10"/>
        <v>0</v>
      </c>
      <c r="L80"/>
    </row>
    <row r="81" spans="1:12" s="19" customFormat="1" ht="30" customHeight="1" x14ac:dyDescent="0.25">
      <c r="A81" s="80" t="str">
        <f>HYPERLINK("https://www.crowdgames.ru/collection/pokoriteli-kosmosa-novye-gorizonty","Покорители космоса. Новые горизонты")</f>
        <v>Покорители космоса. Новые горизонты</v>
      </c>
      <c r="B81" s="86">
        <v>16189</v>
      </c>
      <c r="C81" s="78">
        <v>1150</v>
      </c>
      <c r="D81" s="79">
        <f t="shared" si="8"/>
        <v>1150</v>
      </c>
      <c r="E81" s="5"/>
      <c r="F81" s="4">
        <f t="shared" si="9"/>
        <v>0</v>
      </c>
      <c r="G81" s="9">
        <f t="shared" si="10"/>
        <v>0</v>
      </c>
      <c r="L81"/>
    </row>
    <row r="82" spans="1:12" s="19" customFormat="1" ht="30" customHeight="1" x14ac:dyDescent="0.25">
      <c r="A82" s="80" t="str">
        <f>HYPERLINK("https://www.crowdgames.ru/collection/portaly", "Порталы")</f>
        <v>Порталы</v>
      </c>
      <c r="B82" s="86">
        <v>16211</v>
      </c>
      <c r="C82" s="78">
        <v>2990</v>
      </c>
      <c r="D82" s="79">
        <f t="shared" si="8"/>
        <v>2990</v>
      </c>
      <c r="E82" s="5"/>
      <c r="F82" s="4">
        <f t="shared" si="9"/>
        <v>0</v>
      </c>
      <c r="G82" s="9">
        <f t="shared" si="10"/>
        <v>0</v>
      </c>
      <c r="L82"/>
    </row>
    <row r="83" spans="1:12" ht="30" customHeight="1" x14ac:dyDescent="0.25">
      <c r="A83" s="80" t="str">
        <f>HYPERLINK("https://www.crowdgames.ru/collection/poezium", "Поэзиум")</f>
        <v>Поэзиум</v>
      </c>
      <c r="B83" s="86">
        <v>16170</v>
      </c>
      <c r="C83" s="78">
        <v>2100</v>
      </c>
      <c r="D83" s="79">
        <f t="shared" si="8"/>
        <v>2100</v>
      </c>
      <c r="E83" s="5"/>
      <c r="F83" s="4">
        <f t="shared" si="9"/>
        <v>0</v>
      </c>
      <c r="G83" s="9">
        <f t="shared" si="10"/>
        <v>0</v>
      </c>
      <c r="I83" s="46"/>
      <c r="J83" s="47"/>
      <c r="L83"/>
    </row>
    <row r="84" spans="1:12" s="19" customFormat="1" ht="30" customHeight="1" x14ac:dyDescent="0.25">
      <c r="A84" s="76" t="str">
        <f>HYPERLINK("https://www.crowdgames.ru/collection/predel-razdor-i-padenie", "Предел")</f>
        <v>Предел</v>
      </c>
      <c r="B84" s="86">
        <v>16273</v>
      </c>
      <c r="C84" s="78">
        <v>6290</v>
      </c>
      <c r="D84" s="79">
        <f t="shared" si="8"/>
        <v>6290</v>
      </c>
      <c r="E84" s="5"/>
      <c r="F84" s="4">
        <f t="shared" si="9"/>
        <v>0</v>
      </c>
      <c r="G84" s="9">
        <f t="shared" si="10"/>
        <v>0</v>
      </c>
      <c r="L84"/>
    </row>
    <row r="85" spans="1:12" s="19" customFormat="1" ht="30" customHeight="1" x14ac:dyDescent="0.25">
      <c r="A85" s="76" t="str">
        <f>HYPERLINK("https://www.crowdgames.ru/collection/predel-zarazhenie", "Предел. Заражение (Дополнение)")</f>
        <v>Предел. Заражение (Дополнение)</v>
      </c>
      <c r="B85" s="86">
        <v>16286</v>
      </c>
      <c r="C85" s="78">
        <v>8990</v>
      </c>
      <c r="D85" s="79">
        <f t="shared" si="8"/>
        <v>8990</v>
      </c>
      <c r="E85" s="5"/>
      <c r="F85" s="4">
        <f t="shared" si="9"/>
        <v>0</v>
      </c>
      <c r="G85" s="9">
        <f t="shared" si="10"/>
        <v>0</v>
      </c>
      <c r="L85"/>
    </row>
    <row r="86" spans="1:12" ht="30" customHeight="1" x14ac:dyDescent="0.25">
      <c r="A86" s="80" t="str">
        <f>HYPERLINK("https://www.crowdgames.ru/collection/priveredy", "Привереды")</f>
        <v>Привереды</v>
      </c>
      <c r="B86" s="86">
        <v>16123</v>
      </c>
      <c r="C86" s="78">
        <v>750</v>
      </c>
      <c r="D86" s="79">
        <f t="shared" si="8"/>
        <v>750</v>
      </c>
      <c r="E86" s="5"/>
      <c r="F86" s="4">
        <f t="shared" si="9"/>
        <v>0</v>
      </c>
      <c r="G86" s="9">
        <f t="shared" si="10"/>
        <v>0</v>
      </c>
      <c r="I86" s="43"/>
      <c r="J86" s="43"/>
      <c r="L86"/>
    </row>
    <row r="87" spans="1:12" ht="30" customHeight="1" x14ac:dyDescent="0.25">
      <c r="A87" s="80" t="str">
        <f>HYPERLINK("https://www.crowdgames.ru/collection/prigorod", "Пригород")</f>
        <v>Пригород</v>
      </c>
      <c r="B87" s="86">
        <v>16166</v>
      </c>
      <c r="C87" s="78">
        <v>5600</v>
      </c>
      <c r="D87" s="79">
        <f t="shared" si="8"/>
        <v>5600</v>
      </c>
      <c r="E87" s="5"/>
      <c r="F87" s="4">
        <f t="shared" si="9"/>
        <v>0</v>
      </c>
      <c r="G87" s="9">
        <f t="shared" si="10"/>
        <v>0</v>
      </c>
      <c r="I87" s="43"/>
      <c r="J87" s="43"/>
      <c r="L87"/>
    </row>
    <row r="88" spans="1:12" s="19" customFormat="1" ht="30" customHeight="1" x14ac:dyDescent="0.25">
      <c r="A88" s="80" t="str">
        <f>HYPERLINK("https://www.crowdgames.ru/collection/project-l-dopolneniya", "Проект L. Призрачная фигура (Дополнение)")</f>
        <v>Проект L. Призрачная фигура (Дополнение)</v>
      </c>
      <c r="B88" s="86" t="s">
        <v>39</v>
      </c>
      <c r="C88" s="78">
        <v>2150</v>
      </c>
      <c r="D88" s="79">
        <f t="shared" si="8"/>
        <v>2150</v>
      </c>
      <c r="E88" s="5"/>
      <c r="F88" s="4">
        <f t="shared" si="9"/>
        <v>0</v>
      </c>
      <c r="G88" s="9">
        <f t="shared" si="10"/>
        <v>0</v>
      </c>
      <c r="I88" s="43"/>
      <c r="J88" s="43"/>
      <c r="L88"/>
    </row>
    <row r="89" spans="1:12" ht="30" customHeight="1" x14ac:dyDescent="0.25">
      <c r="A89" s="80" t="str">
        <f>HYPERLINK("https://www.crowdgames.ru/collection/project-l-dopolneniya", "Проект L. Уловки (Дополнение)")</f>
        <v>Проект L. Уловки (Дополнение)</v>
      </c>
      <c r="B89" s="86" t="s">
        <v>18</v>
      </c>
      <c r="C89" s="78">
        <v>1650</v>
      </c>
      <c r="D89" s="79">
        <f t="shared" si="8"/>
        <v>1650</v>
      </c>
      <c r="E89" s="5"/>
      <c r="F89" s="4">
        <f t="shared" si="9"/>
        <v>0</v>
      </c>
      <c r="G89" s="9">
        <f t="shared" si="10"/>
        <v>0</v>
      </c>
      <c r="I89" s="43"/>
      <c r="J89" s="43"/>
      <c r="L89"/>
    </row>
    <row r="90" spans="1:12" ht="30" customHeight="1" x14ac:dyDescent="0.25">
      <c r="A90" s="76" t="str">
        <f>HYPERLINK("https://www.crowdgames.ru/collection/puteshestvie-darvina", "Путешествие Дарвина")</f>
        <v>Путешествие Дарвина</v>
      </c>
      <c r="B90" s="86">
        <v>16256</v>
      </c>
      <c r="C90" s="78">
        <v>6290</v>
      </c>
      <c r="D90" s="79">
        <f t="shared" si="8"/>
        <v>6290</v>
      </c>
      <c r="E90" s="5"/>
      <c r="F90" s="4">
        <f t="shared" si="9"/>
        <v>0</v>
      </c>
      <c r="G90" s="9">
        <f t="shared" si="10"/>
        <v>0</v>
      </c>
      <c r="I90" s="16"/>
      <c r="L90"/>
    </row>
    <row r="91" spans="1:12" ht="30" customHeight="1" x14ac:dyDescent="0.25">
      <c r="A91" s="76" t="s">
        <v>19</v>
      </c>
      <c r="B91" s="86">
        <v>16420</v>
      </c>
      <c r="C91" s="78">
        <v>4290</v>
      </c>
      <c r="D91" s="79">
        <f t="shared" si="8"/>
        <v>4290</v>
      </c>
      <c r="E91" s="5"/>
      <c r="F91" s="4">
        <f t="shared" si="9"/>
        <v>0</v>
      </c>
      <c r="G91" s="9">
        <f t="shared" si="10"/>
        <v>0</v>
      </c>
      <c r="I91" s="16"/>
      <c r="L91"/>
    </row>
    <row r="92" spans="1:12" ht="30" customHeight="1" x14ac:dyDescent="0.25">
      <c r="A92" s="80" t="str">
        <f>HYPERLINK("https://www.crowdgames.ru/collection/pyat-plemyon", "Пять племён. Джинны Накалы")</f>
        <v>Пять племён. Джинны Накалы</v>
      </c>
      <c r="B92" s="86">
        <v>16154</v>
      </c>
      <c r="C92" s="78">
        <v>6250</v>
      </c>
      <c r="D92" s="79">
        <f t="shared" si="8"/>
        <v>6250</v>
      </c>
      <c r="E92" s="5"/>
      <c r="F92" s="4">
        <f t="shared" si="9"/>
        <v>0</v>
      </c>
      <c r="G92" s="9">
        <f t="shared" si="10"/>
        <v>0</v>
      </c>
      <c r="I92" s="43"/>
      <c r="J92" s="43"/>
      <c r="L92"/>
    </row>
    <row r="93" spans="1:12" ht="30" customHeight="1" x14ac:dyDescent="0.25">
      <c r="A93" s="80" t="str">
        <f>HYPERLINK("https://www.crowdgames.ru/collection/shop/product/pyat-plemyon-remeslenniki-nakaly", "Пять племён. Ремесленники Накалы (Дополнение)")</f>
        <v>Пять племён. Ремесленники Накалы (Дополнение)</v>
      </c>
      <c r="B93" s="86">
        <v>16155</v>
      </c>
      <c r="C93" s="78">
        <v>3250</v>
      </c>
      <c r="D93" s="79">
        <f t="shared" si="8"/>
        <v>3250</v>
      </c>
      <c r="E93" s="5"/>
      <c r="F93" s="4">
        <f t="shared" si="9"/>
        <v>0</v>
      </c>
      <c r="G93" s="9">
        <f t="shared" si="10"/>
        <v>0</v>
      </c>
      <c r="I93" s="43"/>
      <c r="J93" s="43"/>
      <c r="L93"/>
    </row>
    <row r="94" spans="1:12" ht="30" customHeight="1" x14ac:dyDescent="0.25">
      <c r="A94" s="76" t="str">
        <f>HYPERLINK("https://www.crowdgames.ru/collection/sagrada", "Саграда (Обновленное издание)")</f>
        <v>Саграда (Обновленное издание)</v>
      </c>
      <c r="B94" s="86">
        <v>16336</v>
      </c>
      <c r="C94" s="78">
        <v>3490</v>
      </c>
      <c r="D94" s="79">
        <f t="shared" si="8"/>
        <v>3490</v>
      </c>
      <c r="E94" s="50"/>
      <c r="F94" s="49">
        <f t="shared" si="9"/>
        <v>0</v>
      </c>
      <c r="G94" s="51">
        <f t="shared" si="10"/>
        <v>0</v>
      </c>
      <c r="I94" s="46"/>
      <c r="J94" s="47"/>
      <c r="L94"/>
    </row>
    <row r="95" spans="1:12" ht="30" customHeight="1" x14ac:dyDescent="0.25">
      <c r="A95" s="80" t="str">
        <f>HYPERLINK("https://www.crowdgames.ru/collection/dopolnenie-k-igre-sagrada","Саграда. 5—6 игроков")</f>
        <v>Саграда. 5—6 игроков</v>
      </c>
      <c r="B95" s="86">
        <v>16094</v>
      </c>
      <c r="C95" s="78">
        <v>2250</v>
      </c>
      <c r="D95" s="79">
        <f t="shared" si="8"/>
        <v>2250</v>
      </c>
      <c r="E95" s="5"/>
      <c r="F95" s="4">
        <f t="shared" si="9"/>
        <v>0</v>
      </c>
      <c r="G95" s="9">
        <f t="shared" si="10"/>
        <v>0</v>
      </c>
      <c r="I95" s="20"/>
      <c r="L95"/>
    </row>
    <row r="96" spans="1:12" ht="30" customHeight="1" x14ac:dyDescent="0.25">
      <c r="A96" s="76" t="str">
        <f>HYPERLINK("https://www.crowdgames.ru/collection/shop/product/serp-02", "Серп")</f>
        <v>Серп</v>
      </c>
      <c r="B96" s="86">
        <v>16007</v>
      </c>
      <c r="C96" s="78">
        <v>9990</v>
      </c>
      <c r="D96" s="79">
        <f t="shared" si="8"/>
        <v>9990</v>
      </c>
      <c r="E96" s="5"/>
      <c r="F96" s="4">
        <f t="shared" si="9"/>
        <v>0</v>
      </c>
      <c r="G96" s="9">
        <f t="shared" si="10"/>
        <v>0</v>
      </c>
      <c r="I96" s="43"/>
      <c r="J96" s="43"/>
      <c r="L96"/>
    </row>
    <row r="97" spans="1:12" ht="30" customHeight="1" x14ac:dyDescent="0.25">
      <c r="A97" s="76" t="str">
        <f>HYPERLINK("https://www.crowdgames.ru/collection/shop/product/serp-voshozhdenie-fenrisa", "Серп. Восхождение Фенриса")</f>
        <v>Серп. Восхождение Фенриса</v>
      </c>
      <c r="B97" s="86">
        <v>16075</v>
      </c>
      <c r="C97" s="78">
        <v>5990</v>
      </c>
      <c r="D97" s="79">
        <f t="shared" si="8"/>
        <v>5990</v>
      </c>
      <c r="E97" s="5"/>
      <c r="F97" s="4">
        <f t="shared" si="9"/>
        <v>0</v>
      </c>
      <c r="G97" s="9">
        <f t="shared" si="10"/>
        <v>0</v>
      </c>
      <c r="I97" s="43"/>
      <c r="J97" s="43"/>
      <c r="L97"/>
    </row>
    <row r="98" spans="1:12" ht="30" customHeight="1" x14ac:dyDescent="0.25">
      <c r="A98" s="76" t="str">
        <f>HYPERLINK("https://www.crowdgames.ru/collection/shop/product/serp-zahvatchiki-iz-dalyokih-zemel", "Серп. Захватчики из далеких земель")</f>
        <v>Серп. Захватчики из далеких земель</v>
      </c>
      <c r="B98" s="86">
        <v>16024</v>
      </c>
      <c r="C98" s="78">
        <v>3490</v>
      </c>
      <c r="D98" s="79">
        <f t="shared" si="8"/>
        <v>3490</v>
      </c>
      <c r="E98" s="5"/>
      <c r="F98" s="4">
        <f t="shared" si="9"/>
        <v>0</v>
      </c>
      <c r="G98" s="9">
        <f t="shared" si="10"/>
        <v>0</v>
      </c>
      <c r="I98" s="20"/>
      <c r="L98"/>
    </row>
    <row r="99" spans="1:12" s="19" customFormat="1" ht="30" customHeight="1" x14ac:dyDescent="0.25">
      <c r="A99" s="76" t="str">
        <f>HYPERLINK("https://www.crowdgames.ru/collection/shop/product/serp-nebesnyy-gambit", "Серп. Небесный гамбит")</f>
        <v>Серп. Небесный гамбит</v>
      </c>
      <c r="B99" s="86">
        <v>16029</v>
      </c>
      <c r="C99" s="78">
        <v>3250</v>
      </c>
      <c r="D99" s="79">
        <f t="shared" si="8"/>
        <v>3250</v>
      </c>
      <c r="E99" s="5"/>
      <c r="F99" s="4">
        <f t="shared" si="9"/>
        <v>0</v>
      </c>
      <c r="G99" s="9">
        <f t="shared" si="10"/>
        <v>0</v>
      </c>
      <c r="I99" s="16"/>
      <c r="L99"/>
    </row>
    <row r="100" spans="1:12" ht="30" customHeight="1" x14ac:dyDescent="0.25">
      <c r="A100" s="76" t="str">
        <f>HYPERLINK("https://www.crowdgames.ru/collection/shop/product/mini-dopolnenie-serp-priklyucheniya", "Серп. Приключения")</f>
        <v>Серп. Приключения</v>
      </c>
      <c r="B100" s="86">
        <v>16079</v>
      </c>
      <c r="C100" s="78">
        <v>2250</v>
      </c>
      <c r="D100" s="79">
        <f t="shared" ref="D100:D112" si="11">C100*(1-$C$131)</f>
        <v>2250</v>
      </c>
      <c r="E100" s="5"/>
      <c r="F100" s="4">
        <f t="shared" si="9"/>
        <v>0</v>
      </c>
      <c r="G100" s="9">
        <f t="shared" si="10"/>
        <v>0</v>
      </c>
      <c r="I100" s="16"/>
      <c r="L100"/>
    </row>
    <row r="101" spans="1:12" ht="30" customHeight="1" x14ac:dyDescent="0.25">
      <c r="A101" s="76" t="str">
        <f>HYPERLINK("https://www.crowdgames.ru/collection/sladkozemie", "Сладкоземье")</f>
        <v>Сладкоземье</v>
      </c>
      <c r="B101" s="86">
        <v>16403</v>
      </c>
      <c r="C101" s="78">
        <v>8990</v>
      </c>
      <c r="D101" s="79">
        <f t="shared" si="11"/>
        <v>8990</v>
      </c>
      <c r="E101" s="5"/>
      <c r="F101" s="4">
        <f t="shared" si="9"/>
        <v>0</v>
      </c>
      <c r="G101" s="9">
        <f t="shared" si="10"/>
        <v>0</v>
      </c>
      <c r="I101" s="16"/>
      <c r="L101"/>
    </row>
    <row r="102" spans="1:12" ht="30" customHeight="1" x14ac:dyDescent="0.25">
      <c r="A102" s="76" t="str">
        <f>HYPERLINK("https://www.crowdgames.ru/collection/shop/product/sunduk-voyny","Сундук войны")</f>
        <v>Сундук войны</v>
      </c>
      <c r="B102" s="86">
        <v>16127</v>
      </c>
      <c r="C102" s="78">
        <v>5290</v>
      </c>
      <c r="D102" s="79">
        <f t="shared" si="11"/>
        <v>5290</v>
      </c>
      <c r="E102" s="5"/>
      <c r="F102" s="4">
        <f t="shared" si="9"/>
        <v>0</v>
      </c>
      <c r="G102" s="9">
        <f t="shared" si="10"/>
        <v>0</v>
      </c>
      <c r="I102" s="16"/>
      <c r="L102"/>
    </row>
    <row r="103" spans="1:12" ht="30" customHeight="1" x14ac:dyDescent="0.25">
      <c r="A103" s="76" t="str">
        <f>HYPERLINK("https://www.crowdgames.ru/collection/sunduk-voyny-osada","Сундук войны. Сумерки")</f>
        <v>Сундук войны. Сумерки</v>
      </c>
      <c r="B103" s="86">
        <v>16233</v>
      </c>
      <c r="C103" s="78">
        <v>2790</v>
      </c>
      <c r="D103" s="79">
        <f t="shared" si="11"/>
        <v>2790</v>
      </c>
      <c r="E103" s="5"/>
      <c r="F103" s="4">
        <f t="shared" si="9"/>
        <v>0</v>
      </c>
      <c r="G103" s="9">
        <f t="shared" si="10"/>
        <v>0</v>
      </c>
      <c r="I103" s="16"/>
      <c r="L103"/>
    </row>
    <row r="104" spans="1:12" ht="30" customHeight="1" x14ac:dyDescent="0.25">
      <c r="A104" s="80" t="str">
        <f>HYPERLINK("https://www.crowdgames.ru/collection/shop/product/taynaya-vlast-vsemirnyy-zagovor", "Тайная власть. Всемирный заговор (Дополнение)")</f>
        <v>Тайная власть. Всемирный заговор (Дополнение)</v>
      </c>
      <c r="B104" s="86">
        <v>16163</v>
      </c>
      <c r="C104" s="78">
        <v>990</v>
      </c>
      <c r="D104" s="79">
        <f t="shared" si="11"/>
        <v>990</v>
      </c>
      <c r="E104" s="5"/>
      <c r="F104" s="4">
        <f t="shared" si="9"/>
        <v>0</v>
      </c>
      <c r="G104" s="9">
        <f t="shared" si="10"/>
        <v>0</v>
      </c>
      <c r="I104" s="16"/>
      <c r="L104"/>
    </row>
    <row r="105" spans="1:12" s="19" customFormat="1" ht="30" customHeight="1" x14ac:dyDescent="0.25">
      <c r="A105" s="80" t="str">
        <f>HYPERLINK("https://www.crowdgames.ru/collection/familyary-semeynye-tayny", "Фамильяры. Семейные тайны")</f>
        <v>Фамильяры. Семейные тайны</v>
      </c>
      <c r="B105" s="86">
        <v>16178</v>
      </c>
      <c r="C105" s="78">
        <v>8490</v>
      </c>
      <c r="D105" s="79">
        <f t="shared" si="11"/>
        <v>8490</v>
      </c>
      <c r="E105" s="5"/>
      <c r="F105" s="4">
        <f t="shared" si="9"/>
        <v>0</v>
      </c>
      <c r="G105" s="9">
        <f t="shared" si="10"/>
        <v>0</v>
      </c>
      <c r="H105" s="2"/>
      <c r="I105" s="44"/>
      <c r="J105" s="44"/>
      <c r="L105"/>
    </row>
    <row r="106" spans="1:12" ht="30" customHeight="1" x14ac:dyDescent="0.25">
      <c r="A106" s="80" t="str">
        <f>HYPERLINK("https://www.crowdgames.ru/collection/federatsiya", "Федерация. Делюкс-издание")</f>
        <v>Федерация. Делюкс-издание</v>
      </c>
      <c r="B106" s="86">
        <v>16215</v>
      </c>
      <c r="C106" s="78">
        <v>8490</v>
      </c>
      <c r="D106" s="79">
        <f t="shared" si="11"/>
        <v>8490</v>
      </c>
      <c r="E106" s="5"/>
      <c r="F106" s="4">
        <f t="shared" si="9"/>
        <v>0</v>
      </c>
      <c r="G106" s="9">
        <f t="shared" si="10"/>
        <v>0</v>
      </c>
      <c r="L106"/>
    </row>
    <row r="107" spans="1:12" s="19" customFormat="1" ht="30" customHeight="1" x14ac:dyDescent="0.25">
      <c r="A107" s="76" t="s">
        <v>20</v>
      </c>
      <c r="B107" s="86">
        <v>16418</v>
      </c>
      <c r="C107" s="78">
        <v>3990</v>
      </c>
      <c r="D107" s="79">
        <f t="shared" si="11"/>
        <v>3990</v>
      </c>
      <c r="E107" s="5"/>
      <c r="F107" s="4">
        <f t="shared" ref="F107:F130" si="12">C107*E107</f>
        <v>0</v>
      </c>
      <c r="G107" s="9">
        <f t="shared" ref="G107:G130" si="13">E107*D107</f>
        <v>0</v>
      </c>
      <c r="I107" s="16"/>
      <c r="L107"/>
    </row>
    <row r="108" spans="1:12" ht="30" customHeight="1" x14ac:dyDescent="0.25">
      <c r="A108" s="76" t="str">
        <f>HYPERLINK("https://www.crowdgames.ru/collection/feod", "Феод. Белки и ёлки (Дополнение)")</f>
        <v>Феод. Белки и ёлки (Дополнение)</v>
      </c>
      <c r="B108" s="86">
        <v>16310</v>
      </c>
      <c r="C108" s="78">
        <v>1990</v>
      </c>
      <c r="D108" s="79">
        <f t="shared" si="11"/>
        <v>1990</v>
      </c>
      <c r="E108" s="5"/>
      <c r="F108" s="4">
        <f t="shared" si="12"/>
        <v>0</v>
      </c>
      <c r="G108" s="9">
        <f t="shared" si="13"/>
        <v>0</v>
      </c>
      <c r="L108"/>
    </row>
    <row r="109" spans="1:12" ht="30" customHeight="1" x14ac:dyDescent="0.25">
      <c r="A109" s="76" t="str">
        <f>HYPERLINK("https://www.crowdgames.ru/collection/feod", "Феод. Мельницы и катапульты (Дополнение)")</f>
        <v>Феод. Мельницы и катапульты (Дополнение)</v>
      </c>
      <c r="B109" s="86">
        <v>16303</v>
      </c>
      <c r="C109" s="78">
        <v>1990</v>
      </c>
      <c r="D109" s="79">
        <f t="shared" si="11"/>
        <v>1990</v>
      </c>
      <c r="E109" s="5"/>
      <c r="F109" s="4">
        <f t="shared" si="12"/>
        <v>0</v>
      </c>
      <c r="G109" s="9">
        <f t="shared" si="13"/>
        <v>0</v>
      </c>
      <c r="I109" s="46"/>
      <c r="J109" s="47"/>
      <c r="L109"/>
    </row>
    <row r="110" spans="1:12" ht="30" customHeight="1" x14ac:dyDescent="0.25">
      <c r="A110" s="76" t="str">
        <f>HYPERLINK("https://www.crowdgames.ru/collection/feod", "Феод. Обновлённое издание")</f>
        <v>Феод. Обновлённое издание</v>
      </c>
      <c r="B110" s="86">
        <v>16302</v>
      </c>
      <c r="C110" s="78">
        <v>9490</v>
      </c>
      <c r="D110" s="79">
        <f t="shared" si="11"/>
        <v>9490</v>
      </c>
      <c r="E110" s="5"/>
      <c r="F110" s="4">
        <f t="shared" si="12"/>
        <v>0</v>
      </c>
      <c r="G110" s="9">
        <f t="shared" si="13"/>
        <v>0</v>
      </c>
      <c r="I110" s="46"/>
      <c r="L110"/>
    </row>
    <row r="111" spans="1:12" ht="30" customHeight="1" x14ac:dyDescent="0.25">
      <c r="A111" s="76" t="str">
        <f>HYPERLINK("https://www.crowdgames.ru/collection/feod", "Феод. Сирены и тюлени (Дополнение)")</f>
        <v>Феод. Сирены и тюлени (Дополнение)</v>
      </c>
      <c r="B111" s="86">
        <v>16311</v>
      </c>
      <c r="C111" s="78">
        <v>1990</v>
      </c>
      <c r="D111" s="79">
        <f t="shared" si="11"/>
        <v>1990</v>
      </c>
      <c r="E111" s="5"/>
      <c r="F111" s="4">
        <f t="shared" si="12"/>
        <v>0</v>
      </c>
      <c r="G111" s="9">
        <f t="shared" si="13"/>
        <v>0</v>
      </c>
      <c r="I111" s="46"/>
      <c r="L111"/>
    </row>
    <row r="112" spans="1:12" ht="30" customHeight="1" x14ac:dyDescent="0.25">
      <c r="A112" s="76" t="str">
        <f>HYPERLINK("https://www.crowdgames.ru/collection/fermageddon", "Фермагеддон")</f>
        <v>Фермагеддон</v>
      </c>
      <c r="B112" s="86">
        <v>16422</v>
      </c>
      <c r="C112" s="78">
        <v>4690</v>
      </c>
      <c r="D112" s="79">
        <f t="shared" si="11"/>
        <v>4690</v>
      </c>
      <c r="E112" s="5"/>
      <c r="F112" s="4">
        <f t="shared" si="12"/>
        <v>0</v>
      </c>
      <c r="G112" s="9">
        <f t="shared" si="13"/>
        <v>0</v>
      </c>
      <c r="I112" s="46"/>
      <c r="L112"/>
    </row>
    <row r="113" spans="1:12" ht="30" customHeight="1" x14ac:dyDescent="0.25">
      <c r="A113" s="80" t="str">
        <f>HYPERLINK("https://www.crowdgames.ru/collection/fonariki-prazdnik-urozhaya","Фонарики. Праздник урожая")</f>
        <v>Фонарики. Праздник урожая</v>
      </c>
      <c r="B113" s="86">
        <v>16006</v>
      </c>
      <c r="C113" s="78">
        <v>1290</v>
      </c>
      <c r="D113" s="79">
        <v>600</v>
      </c>
      <c r="E113" s="5"/>
      <c r="F113" s="4">
        <f t="shared" si="12"/>
        <v>0</v>
      </c>
      <c r="G113" s="9">
        <f t="shared" si="13"/>
        <v>0</v>
      </c>
      <c r="I113" s="46"/>
      <c r="L113"/>
    </row>
    <row r="114" spans="1:12" ht="30" customHeight="1" x14ac:dyDescent="0.25">
      <c r="A114" s="80" t="str">
        <f>HYPERLINK("https://www.crowdgames.ru/collection/hellboy", "Хеллбой")</f>
        <v>Хеллбой</v>
      </c>
      <c r="B114" s="86">
        <v>16104</v>
      </c>
      <c r="C114" s="78">
        <v>7990</v>
      </c>
      <c r="D114" s="79">
        <f t="shared" ref="D114:D130" si="14">C114*(1-$C$131)</f>
        <v>7990</v>
      </c>
      <c r="E114" s="5"/>
      <c r="F114" s="4">
        <f t="shared" si="12"/>
        <v>0</v>
      </c>
      <c r="G114" s="9">
        <f t="shared" si="13"/>
        <v>0</v>
      </c>
      <c r="I114" s="46"/>
      <c r="J114" s="47"/>
      <c r="L114"/>
    </row>
    <row r="115" spans="1:12" ht="30" customHeight="1" x14ac:dyDescent="0.25">
      <c r="A115" s="76" t="str">
        <f>HYPERLINK("https://www.crowdgames.ru/collection/hellboy-arhivy-brpd", "Хеллбой. Архивы БРПД")</f>
        <v>Хеллбой. Архивы БРПД</v>
      </c>
      <c r="B115" s="86">
        <v>16260</v>
      </c>
      <c r="C115" s="78">
        <v>6290</v>
      </c>
      <c r="D115" s="79">
        <f t="shared" si="14"/>
        <v>6290</v>
      </c>
      <c r="E115" s="5"/>
      <c r="F115" s="4">
        <f t="shared" si="12"/>
        <v>0</v>
      </c>
      <c r="G115" s="9">
        <f t="shared" si="13"/>
        <v>0</v>
      </c>
      <c r="L115"/>
    </row>
    <row r="116" spans="1:12" s="19" customFormat="1" ht="30" customHeight="1" x14ac:dyDescent="0.25">
      <c r="A116" s="76" t="str">
        <f>HYPERLINK("https://www.crowdgames.ru/collection/hellboy-arhivy-brpd", "Хеллбой. Баба-Яга")</f>
        <v>Хеллбой. Баба-Яга</v>
      </c>
      <c r="B116" s="86">
        <v>16267</v>
      </c>
      <c r="C116" s="78">
        <v>3690</v>
      </c>
      <c r="D116" s="79">
        <f t="shared" si="14"/>
        <v>3690</v>
      </c>
      <c r="E116" s="5"/>
      <c r="F116" s="4">
        <f t="shared" si="12"/>
        <v>0</v>
      </c>
      <c r="G116" s="9">
        <f t="shared" si="13"/>
        <v>0</v>
      </c>
      <c r="I116" s="16"/>
      <c r="L116"/>
    </row>
    <row r="117" spans="1:12" s="19" customFormat="1" ht="30" customHeight="1" x14ac:dyDescent="0.25">
      <c r="A117" s="76" t="str">
        <f>HYPERLINK("https://www.crowdgames.ru/collection/hellboy-arhivy-brpd", "Хеллбой. Геката")</f>
        <v>Хеллбой. Геката</v>
      </c>
      <c r="B117" s="86">
        <v>16268</v>
      </c>
      <c r="C117" s="78">
        <v>3690</v>
      </c>
      <c r="D117" s="79">
        <f t="shared" si="14"/>
        <v>3690</v>
      </c>
      <c r="E117" s="5"/>
      <c r="F117" s="4">
        <f t="shared" si="12"/>
        <v>0</v>
      </c>
      <c r="G117" s="9">
        <f t="shared" si="13"/>
        <v>0</v>
      </c>
      <c r="I117" s="16"/>
      <c r="L117"/>
    </row>
    <row r="118" spans="1:12" ht="30" customHeight="1" x14ac:dyDescent="0.25">
      <c r="A118" s="76" t="str">
        <f>HYPERLINK("https://www.crowdgames.ru/collection/hellboy-arhivy-brpd", "Хеллбой. Крампус")</f>
        <v>Хеллбой. Крампус</v>
      </c>
      <c r="B118" s="86">
        <v>16270</v>
      </c>
      <c r="C118" s="78">
        <v>6290</v>
      </c>
      <c r="D118" s="79">
        <f t="shared" si="14"/>
        <v>6290</v>
      </c>
      <c r="E118" s="5"/>
      <c r="F118" s="4">
        <f t="shared" si="12"/>
        <v>0</v>
      </c>
      <c r="G118" s="9">
        <f t="shared" si="13"/>
        <v>0</v>
      </c>
      <c r="I118" s="20"/>
      <c r="L118"/>
    </row>
    <row r="119" spans="1:12" ht="30" customHeight="1" x14ac:dyDescent="0.25">
      <c r="A119" s="76" t="str">
        <f>HYPERLINK("https://www.crowdgames.ru/collection/hellboy-arhivy-brpd", "Хеллбой. Лобстер")</f>
        <v>Хеллбой. Лобстер</v>
      </c>
      <c r="B119" s="86">
        <v>16271</v>
      </c>
      <c r="C119" s="78">
        <v>3690</v>
      </c>
      <c r="D119" s="79">
        <f t="shared" si="14"/>
        <v>3690</v>
      </c>
      <c r="E119" s="5"/>
      <c r="F119" s="4">
        <f t="shared" si="12"/>
        <v>0</v>
      </c>
      <c r="G119" s="9">
        <f t="shared" si="13"/>
        <v>0</v>
      </c>
      <c r="I119" s="20"/>
      <c r="L119"/>
    </row>
    <row r="120" spans="1:12" ht="30" customHeight="1" x14ac:dyDescent="0.25">
      <c r="A120" s="76" t="str">
        <f>HYPERLINK("https://www.crowdgames.ru/collection/hellboy-arhivy-brpd", "Хеллбой. Нимуэ, кровавая королева")</f>
        <v>Хеллбой. Нимуэ, кровавая королева</v>
      </c>
      <c r="B120" s="86">
        <v>16269</v>
      </c>
      <c r="C120" s="78">
        <v>3690</v>
      </c>
      <c r="D120" s="79">
        <f t="shared" si="14"/>
        <v>3690</v>
      </c>
      <c r="E120" s="5"/>
      <c r="F120" s="4">
        <f t="shared" si="12"/>
        <v>0</v>
      </c>
      <c r="G120" s="9">
        <f t="shared" si="13"/>
        <v>0</v>
      </c>
      <c r="I120" s="20"/>
      <c r="L120"/>
    </row>
    <row r="121" spans="1:12" ht="30" customHeight="1" x14ac:dyDescent="0.25">
      <c r="A121" s="76" t="str">
        <f>HYPERLINK("https://www.crowdgames.ru/collection/tsirk-tryoh-aren", "Цирк трёх арен")</f>
        <v>Цирк трёх арен</v>
      </c>
      <c r="B121" s="86">
        <v>16249</v>
      </c>
      <c r="C121" s="78">
        <v>4000</v>
      </c>
      <c r="D121" s="79">
        <f t="shared" si="14"/>
        <v>4000</v>
      </c>
      <c r="E121" s="5"/>
      <c r="F121" s="4">
        <f t="shared" si="12"/>
        <v>0</v>
      </c>
      <c r="G121" s="9">
        <f t="shared" si="13"/>
        <v>0</v>
      </c>
      <c r="I121" s="20"/>
      <c r="L121"/>
    </row>
    <row r="122" spans="1:12" ht="30" customHeight="1" x14ac:dyDescent="0.25">
      <c r="A122" s="80" t="str">
        <f>HYPERLINK("https://www.crowdgames.ru/collection/chyornaya-sonata-prekrasnyy-yunosha", "Чёрная соната. Прекрасный юноша (Дополнение)")</f>
        <v>Чёрная соната. Прекрасный юноша (Дополнение)</v>
      </c>
      <c r="B122" s="86">
        <v>16168</v>
      </c>
      <c r="C122" s="78">
        <v>790</v>
      </c>
      <c r="D122" s="79">
        <f t="shared" si="14"/>
        <v>790</v>
      </c>
      <c r="E122" s="5"/>
      <c r="F122" s="4">
        <f t="shared" si="12"/>
        <v>0</v>
      </c>
      <c r="G122" s="9">
        <f t="shared" si="13"/>
        <v>0</v>
      </c>
      <c r="I122" s="20"/>
      <c r="L122"/>
    </row>
    <row r="123" spans="1:12" ht="30" customHeight="1" x14ac:dyDescent="0.25">
      <c r="A123" s="76" t="s">
        <v>22</v>
      </c>
      <c r="B123" s="86">
        <v>16326</v>
      </c>
      <c r="C123" s="78">
        <v>4490</v>
      </c>
      <c r="D123" s="79">
        <f t="shared" si="14"/>
        <v>4490</v>
      </c>
      <c r="E123" s="5"/>
      <c r="F123" s="4">
        <f t="shared" si="12"/>
        <v>0</v>
      </c>
      <c r="G123" s="9">
        <f t="shared" si="13"/>
        <v>0</v>
      </c>
      <c r="I123" s="20"/>
      <c r="L123"/>
    </row>
    <row r="124" spans="1:12" ht="30" customHeight="1" x14ac:dyDescent="0.25">
      <c r="A124" s="80" t="str">
        <f>HYPERLINK("https://www.crowdgames.ru/collection/chetyre-zelya", "Четыре зелья")</f>
        <v>Четыре зелья</v>
      </c>
      <c r="B124" s="86">
        <v>16185</v>
      </c>
      <c r="C124" s="78">
        <v>3290</v>
      </c>
      <c r="D124" s="79">
        <f t="shared" si="14"/>
        <v>3290</v>
      </c>
      <c r="E124" s="5"/>
      <c r="F124" s="4">
        <f t="shared" si="12"/>
        <v>0</v>
      </c>
      <c r="G124" s="9">
        <f t="shared" si="13"/>
        <v>0</v>
      </c>
      <c r="I124" s="20"/>
      <c r="L124"/>
    </row>
    <row r="125" spans="1:12" s="19" customFormat="1" ht="30" customHeight="1" x14ac:dyDescent="0.25">
      <c r="A125" s="76" t="str">
        <f>HYPERLINK("https://www.crowdgames.ru/collection/shop/product/chuma", "Чума")</f>
        <v>Чума</v>
      </c>
      <c r="B125" s="86">
        <v>16242</v>
      </c>
      <c r="C125" s="78">
        <v>8490</v>
      </c>
      <c r="D125" s="79">
        <f t="shared" si="14"/>
        <v>8490</v>
      </c>
      <c r="E125" s="53"/>
      <c r="F125" s="52">
        <f t="shared" si="12"/>
        <v>0</v>
      </c>
      <c r="G125" s="75">
        <f t="shared" si="13"/>
        <v>0</v>
      </c>
      <c r="H125" s="2"/>
      <c r="I125" s="21"/>
      <c r="J125" s="21"/>
      <c r="L125"/>
    </row>
    <row r="126" spans="1:12" ht="30" customHeight="1" x14ac:dyDescent="0.25">
      <c r="A126" s="88" t="str">
        <f>HYPERLINK("https://www.crowdgames.ru/collection/shop/product/chuma-nabor-kart-sobytiy", "Чума. Дорожные события (Дополнение)")</f>
        <v>Чума. Дорожные события (Дополнение)</v>
      </c>
      <c r="B126" s="77">
        <v>16243</v>
      </c>
      <c r="C126" s="78">
        <v>1590</v>
      </c>
      <c r="D126" s="79">
        <f t="shared" si="14"/>
        <v>1590</v>
      </c>
      <c r="E126" s="53"/>
      <c r="F126" s="52">
        <f t="shared" si="12"/>
        <v>0</v>
      </c>
      <c r="G126" s="52">
        <f t="shared" si="13"/>
        <v>0</v>
      </c>
      <c r="I126" s="16"/>
      <c r="L126"/>
    </row>
    <row r="127" spans="1:12" ht="30" customHeight="1" x14ac:dyDescent="0.25">
      <c r="A127" s="88" t="str">
        <f>HYPERLINK("https://www.crowdgames.ru/collection/shop/product/chuma-deluxe-pack", "Чума. Набор улучшений (Дополнение)")</f>
        <v>Чума. Набор улучшений (Дополнение)</v>
      </c>
      <c r="B127" s="77" t="s">
        <v>21</v>
      </c>
      <c r="C127" s="78">
        <v>3190</v>
      </c>
      <c r="D127" s="79">
        <f t="shared" si="14"/>
        <v>3190</v>
      </c>
      <c r="E127" s="53"/>
      <c r="F127" s="52">
        <f t="shared" si="12"/>
        <v>0</v>
      </c>
      <c r="G127" s="52">
        <f t="shared" si="13"/>
        <v>0</v>
      </c>
      <c r="I127" s="16"/>
      <c r="L127"/>
    </row>
    <row r="128" spans="1:12" ht="30" customHeight="1" x14ac:dyDescent="0.25">
      <c r="A128" s="88" t="str">
        <f>HYPERLINK("https://www.crowdgames.ru/collection/ekspeditsiya-morskie-glubiny", "Штуки в круге")</f>
        <v>Штуки в круге</v>
      </c>
      <c r="B128" s="77">
        <v>16309</v>
      </c>
      <c r="C128" s="78">
        <v>1990</v>
      </c>
      <c r="D128" s="79">
        <f t="shared" si="14"/>
        <v>1990</v>
      </c>
      <c r="E128" s="53"/>
      <c r="F128" s="52">
        <f t="shared" si="12"/>
        <v>0</v>
      </c>
      <c r="G128" s="52">
        <f t="shared" si="13"/>
        <v>0</v>
      </c>
      <c r="I128" s="16"/>
      <c r="L128"/>
    </row>
    <row r="129" spans="1:24" ht="30" customHeight="1" x14ac:dyDescent="0.25">
      <c r="A129" s="80" t="str">
        <f>HYPERLINK("https://www.crowdgames.ru/collection/enigma", "Энигма. Код Хаоса")</f>
        <v>Энигма. Код Хаоса</v>
      </c>
      <c r="B129" s="86">
        <v>16404</v>
      </c>
      <c r="C129" s="78">
        <v>1490</v>
      </c>
      <c r="D129" s="79">
        <f t="shared" si="14"/>
        <v>1490</v>
      </c>
      <c r="E129" s="5"/>
      <c r="F129" s="4">
        <f t="shared" si="12"/>
        <v>0</v>
      </c>
      <c r="G129" s="9">
        <f t="shared" si="13"/>
        <v>0</v>
      </c>
      <c r="I129" s="46"/>
      <c r="J129" s="47"/>
      <c r="L129"/>
    </row>
    <row r="130" spans="1:24" ht="30" customHeight="1" x14ac:dyDescent="0.25">
      <c r="A130" s="76" t="s">
        <v>23</v>
      </c>
      <c r="B130" s="86">
        <v>16436</v>
      </c>
      <c r="C130" s="78">
        <v>4290</v>
      </c>
      <c r="D130" s="79">
        <f t="shared" si="14"/>
        <v>4290</v>
      </c>
      <c r="E130" s="5"/>
      <c r="F130" s="4">
        <f t="shared" si="12"/>
        <v>0</v>
      </c>
      <c r="G130" s="9">
        <f t="shared" si="13"/>
        <v>0</v>
      </c>
      <c r="I130" s="48"/>
      <c r="J130" s="47"/>
      <c r="L130"/>
    </row>
    <row r="131" spans="1:24" s="19" customFormat="1" ht="30" customHeight="1" x14ac:dyDescent="0.25">
      <c r="A131" s="22" t="s">
        <v>24</v>
      </c>
      <c r="B131" s="55"/>
      <c r="C131" s="23">
        <f>IF(($F$131*0.6+$F$139*0.4+$G$159+$F$162*0.6)&gt;=90000, 0.4, IF(($F$131*0.625+$F$139*0.45+$F$162*0.625+$G$159)&gt;=60000, 0.375, IF(($F$131*0.65+$F$139*0.5+$F$162*0.65+$G$159)&gt;=45000, 0.35,IF(($F$131*0.675+$F$139*0.55+$F$162*0.675+$G$159)&gt;=32500, 0.325,IF(($F$131*0.7+$F$139*0.6+$F$162*0.7+$G$159)&gt;=20000, 0.3,IF(($F$131*0.725+$F$139*0.65+$F$162*0.725+$G$159)&gt;=15000, 0.3,IF(($F$131*0.75+$F$139*0.7+$F$162*0.75+$G$159)&gt;=10000, 0.3, 0)))))))</f>
        <v>0</v>
      </c>
      <c r="D131" s="24"/>
      <c r="E131" s="3" t="s">
        <v>25</v>
      </c>
      <c r="F131" s="1">
        <f>SUM(F4:F130)</f>
        <v>0</v>
      </c>
      <c r="G131" s="7">
        <f>SUM(G4:G130)</f>
        <v>0</v>
      </c>
      <c r="I131" s="16"/>
    </row>
    <row r="132" spans="1:24" ht="30" hidden="1" customHeight="1" x14ac:dyDescent="0.25">
      <c r="A132" s="25" t="s">
        <v>26</v>
      </c>
      <c r="B132" s="56"/>
      <c r="C132" s="26" t="s">
        <v>3</v>
      </c>
      <c r="D132" s="27" t="s">
        <v>27</v>
      </c>
      <c r="E132" s="1" t="s">
        <v>5</v>
      </c>
      <c r="F132" s="1" t="s">
        <v>6</v>
      </c>
      <c r="G132" s="8" t="s">
        <v>7</v>
      </c>
    </row>
    <row r="133" spans="1:24" s="19" customFormat="1" ht="30" hidden="1" customHeight="1" x14ac:dyDescent="0.25">
      <c r="A133" s="6" t="str">
        <f>HYPERLINK("https://www.crowdgames.ru/collection/shop/product/galerist", "Галерист")</f>
        <v>Галерист</v>
      </c>
      <c r="B133" s="54"/>
      <c r="C133" s="4">
        <v>10990</v>
      </c>
      <c r="D133" s="14">
        <v>6500</v>
      </c>
      <c r="E133" s="5"/>
      <c r="F133" s="4">
        <f t="shared" ref="F133:F138" si="15">C133*E133</f>
        <v>0</v>
      </c>
      <c r="G133" s="9">
        <f t="shared" ref="G133:G138" si="16">E133*D133</f>
        <v>0</v>
      </c>
      <c r="I133" s="16"/>
    </row>
    <row r="134" spans="1:24" ht="30" hidden="1" customHeight="1" x14ac:dyDescent="0.25">
      <c r="A134" s="6" t="str">
        <f>HYPERLINK("https://www.crowdgames.ru/collection/tauantinsyu", "Тауантинсуйу. Империя инков")</f>
        <v>Тауантинсуйу. Империя инков</v>
      </c>
      <c r="B134" s="54"/>
      <c r="C134" s="4">
        <v>4490</v>
      </c>
      <c r="D134" s="14">
        <v>1990</v>
      </c>
      <c r="E134" s="5"/>
      <c r="F134" s="4">
        <f t="shared" si="15"/>
        <v>0</v>
      </c>
      <c r="G134" s="9">
        <f t="shared" si="16"/>
        <v>0</v>
      </c>
    </row>
    <row r="135" spans="1:24" ht="30" hidden="1" customHeight="1" x14ac:dyDescent="0.25">
      <c r="A135" s="6" t="str">
        <f>HYPERLINK("https://www.crowdgames.ru/collection/fonariki-prazdnik-urozhaya","Фонарики. Праздник урожая")</f>
        <v>Фонарики. Праздник урожая</v>
      </c>
      <c r="B135" s="54"/>
      <c r="C135" s="4">
        <v>1190</v>
      </c>
      <c r="D135" s="14">
        <v>600</v>
      </c>
      <c r="E135" s="5"/>
      <c r="F135" s="4">
        <f t="shared" si="15"/>
        <v>0</v>
      </c>
      <c r="G135" s="9">
        <f t="shared" si="16"/>
        <v>0</v>
      </c>
    </row>
    <row r="136" spans="1:24" ht="30" hidden="1" customHeight="1" x14ac:dyDescent="0.25">
      <c r="A136" s="6" t="str">
        <f>HYPERLINK("https://www.crowdgames.ru/collection/federatsiya", "Федерация. Делюкс-издание")</f>
        <v>Федерация. Делюкс-издание</v>
      </c>
      <c r="B136" s="54"/>
      <c r="C136" s="4">
        <v>7990</v>
      </c>
      <c r="D136" s="14">
        <v>4590</v>
      </c>
      <c r="E136" s="5"/>
      <c r="F136" s="4">
        <f t="shared" si="15"/>
        <v>0</v>
      </c>
      <c r="G136" s="9">
        <f t="shared" si="16"/>
        <v>0</v>
      </c>
    </row>
    <row r="137" spans="1:24" s="28" customFormat="1" ht="30" hidden="1" customHeight="1" x14ac:dyDescent="0.25">
      <c r="A137" s="6" t="str">
        <f>HYPERLINK("https://www.crowdgames.ru/collection/fonariki-prazdnik-urozhaya","Фонарики. Праздник урожая")</f>
        <v>Фонарики. Праздник урожая</v>
      </c>
      <c r="B137" s="54"/>
      <c r="C137" s="4">
        <v>1190</v>
      </c>
      <c r="D137" s="14">
        <v>600</v>
      </c>
      <c r="E137" s="5"/>
      <c r="F137" s="4">
        <f t="shared" si="15"/>
        <v>0</v>
      </c>
      <c r="G137" s="9">
        <f t="shared" si="16"/>
        <v>0</v>
      </c>
    </row>
    <row r="138" spans="1:24" s="21" customFormat="1" ht="30" hidden="1" customHeight="1" x14ac:dyDescent="0.25">
      <c r="A138" s="6" t="str">
        <f>HYPERLINK("https://www.crowdgames.ru/collection/fort","Форт")</f>
        <v>Форт</v>
      </c>
      <c r="B138" s="54"/>
      <c r="C138" s="4">
        <v>2290</v>
      </c>
      <c r="D138" s="14">
        <v>1450</v>
      </c>
      <c r="E138" s="5"/>
      <c r="F138" s="4">
        <f t="shared" si="15"/>
        <v>0</v>
      </c>
      <c r="G138" s="9">
        <f t="shared" si="16"/>
        <v>0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s="21" customFormat="1" ht="30" hidden="1" customHeight="1" x14ac:dyDescent="0.25">
      <c r="A139" s="22" t="s">
        <v>24</v>
      </c>
      <c r="B139" s="55"/>
      <c r="C139" s="23">
        <f>IF(($F$131*0.6+$F$139*0.4+$F$162*0.6+$G$159)&gt;=90000, 0.6, IF(($F$131*0.625+$F$139*0.45+$F$162*0.625+$G$159)&gt;=60000, 0.55, IF(($F$131*0.65+$F$139*0.5+$F$162*0.65+$G$159)&gt;=45000, 0.5,IF(($F$131*0.675+$F$139*0.55+$G$159+$F$162*0.675)&gt;=32500, 0.45,IF(($F$131*0.7+$F$139*0.6+$F$162*0.7+$G$159)&gt;=20000, 0.4,IF(($F$131*0.725+$F$139*0.65+$F$162*0.725+$G$159)&gt;=15000, 0.4,IF(($F$131*0.75+$F$139*0.7+$F$162*0.75+$G$159)&gt;=10000, 0.4, 0)))))))</f>
        <v>0</v>
      </c>
      <c r="D139" s="24"/>
      <c r="E139" s="3" t="s">
        <v>25</v>
      </c>
      <c r="F139" s="1">
        <f>SUM(F133:F138)</f>
        <v>0</v>
      </c>
      <c r="G139" s="7">
        <f>SUM(G133:G138)</f>
        <v>0</v>
      </c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s="21" customFormat="1" ht="30" hidden="1" customHeight="1" x14ac:dyDescent="0.25">
      <c r="A140" s="25" t="s">
        <v>28</v>
      </c>
      <c r="B140" s="56"/>
      <c r="C140" s="26" t="s">
        <v>3</v>
      </c>
      <c r="D140" s="27" t="s">
        <v>27</v>
      </c>
      <c r="E140" s="1" t="s">
        <v>5</v>
      </c>
      <c r="F140" s="1" t="s">
        <v>6</v>
      </c>
      <c r="G140" s="8" t="s">
        <v>7</v>
      </c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s="21" customFormat="1" ht="30" hidden="1" customHeight="1" x14ac:dyDescent="0.25">
      <c r="A141" s="13" t="str">
        <f>HYPERLINK("https://www.crowdgames.ru/collection/shop/product/protektory-matovye-chainmail-premium-63%D1%8588-100-sht", "Протекторы 63,5 × 88 матовые Chainmail Premium ")</f>
        <v xml:space="preserve">Протекторы 63,5 × 88 матовые Chainmail Premium </v>
      </c>
      <c r="B141" s="57"/>
      <c r="C141" s="30">
        <v>690</v>
      </c>
      <c r="D141" s="29">
        <v>375</v>
      </c>
      <c r="E141" s="5"/>
      <c r="F141" s="4">
        <f t="shared" ref="F141:F158" si="17">C141*E141</f>
        <v>0</v>
      </c>
      <c r="G141" s="9">
        <f t="shared" ref="G141:G158" si="18">E141*D141</f>
        <v>0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s="21" customFormat="1" ht="30" hidden="1" customHeight="1" x14ac:dyDescent="0.25">
      <c r="A142" s="13" t="str">
        <f>HYPERLINK("https://www.crowdgames.ru/collection/shop/product/raznotsvetnye-kristally-dlya-nastolnyh-igr", "Разноцветные кристаллы для настольных игр")</f>
        <v>Разноцветные кристаллы для настольных игр</v>
      </c>
      <c r="B142" s="57"/>
      <c r="C142" s="30">
        <v>340</v>
      </c>
      <c r="D142" s="29">
        <v>200</v>
      </c>
      <c r="E142" s="5"/>
      <c r="F142" s="4">
        <f t="shared" si="17"/>
        <v>0</v>
      </c>
      <c r="G142" s="9">
        <f t="shared" si="18"/>
        <v>0</v>
      </c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1:24" s="21" customFormat="1" ht="30" hidden="1" customHeight="1" x14ac:dyDescent="0.25">
      <c r="A143" s="10" t="str">
        <f>HYPERLINK("https://www.crowdgames.ru/collection/shop/product/protektory-crowd-games-dlya-kart-41-63-mm","Протекторы 41 х 63 (Crowd Games)")</f>
        <v>Протекторы 41 х 63 (Crowd Games)</v>
      </c>
      <c r="B143" s="58"/>
      <c r="C143" s="33">
        <v>119</v>
      </c>
      <c r="D143" s="32">
        <v>65</v>
      </c>
      <c r="E143" s="5"/>
      <c r="F143" s="4">
        <f t="shared" si="17"/>
        <v>0</v>
      </c>
      <c r="G143" s="9">
        <f t="shared" si="18"/>
        <v>0</v>
      </c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s="21" customFormat="1" ht="30" hidden="1" customHeight="1" x14ac:dyDescent="0.25">
      <c r="A144" s="10" t="str">
        <f>HYPERLINK("https://www.crowdgames.ru/collection/shop/product/protektory-CG-premium-41x63","Протекторы 41 х 63 Premium (Crowd Games)")</f>
        <v>Протекторы 41 х 63 Premium (Crowd Games)</v>
      </c>
      <c r="B144" s="58"/>
      <c r="C144" s="33">
        <v>119</v>
      </c>
      <c r="D144" s="32">
        <v>65</v>
      </c>
      <c r="E144" s="5"/>
      <c r="F144" s="4">
        <f t="shared" si="17"/>
        <v>0</v>
      </c>
      <c r="G144" s="9">
        <f t="shared" si="18"/>
        <v>0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s="21" customFormat="1" ht="30" hidden="1" customHeight="1" x14ac:dyDescent="0.25">
      <c r="A145" s="10" t="str">
        <f>HYPERLINK("https://www.crowdgames.ru/collection/shop/product/protektory-crowd-games-dlya-kart-44-68-mm","Протекторы 44 х 67 (Crowd Games)")</f>
        <v>Протекторы 44 х 67 (Crowd Games)</v>
      </c>
      <c r="B145" s="58"/>
      <c r="C145" s="33">
        <v>119</v>
      </c>
      <c r="D145" s="32">
        <v>65</v>
      </c>
      <c r="E145" s="5"/>
      <c r="F145" s="4">
        <f t="shared" si="17"/>
        <v>0</v>
      </c>
      <c r="G145" s="9">
        <f t="shared" si="18"/>
        <v>0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s="21" customFormat="1" ht="30" hidden="1" customHeight="1" x14ac:dyDescent="0.25">
      <c r="A146" s="10" t="str">
        <f>HYPERLINK("https://www.crowdgames.ru/collection/shop/product/protektory-CG-premium-44x68","Протекторы 44 х 67 Premium (Crowd Games)")</f>
        <v>Протекторы 44 х 67 Premium (Crowd Games)</v>
      </c>
      <c r="B146" s="58"/>
      <c r="C146" s="33">
        <v>119</v>
      </c>
      <c r="D146" s="32">
        <v>65</v>
      </c>
      <c r="E146" s="5"/>
      <c r="F146" s="4">
        <f t="shared" si="17"/>
        <v>0</v>
      </c>
      <c r="G146" s="9">
        <f t="shared" si="18"/>
        <v>0</v>
      </c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s="21" customFormat="1" ht="30" hidden="1" customHeight="1" x14ac:dyDescent="0.25">
      <c r="A147" s="10" t="str">
        <f>HYPERLINK("https://www.crowdgames.ru/collection/shop/product/protektory-crowd-games-dlya-kart-56-x-87-mm","Протекторы 56 х 87 (Crowd Games)")</f>
        <v>Протекторы 56 х 87 (Crowd Games)</v>
      </c>
      <c r="B147" s="58"/>
      <c r="C147" s="33">
        <v>119</v>
      </c>
      <c r="D147" s="32">
        <v>65</v>
      </c>
      <c r="E147" s="5"/>
      <c r="F147" s="4">
        <f t="shared" si="17"/>
        <v>0</v>
      </c>
      <c r="G147" s="9">
        <f t="shared" si="18"/>
        <v>0</v>
      </c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1:24" s="21" customFormat="1" ht="30" hidden="1" customHeight="1" x14ac:dyDescent="0.25">
      <c r="A148" s="10" t="str">
        <f>HYPERLINK("https://www.crowdgames.ru/collection/shop/product/protektory-crowd-games-premium-dlya-kart-56-x-87-mm","Протекторы 56 х 87 Premium (Crowd Games)")</f>
        <v>Протекторы 56 х 87 Premium (Crowd Games)</v>
      </c>
      <c r="B148" s="58"/>
      <c r="C148" s="33">
        <v>119</v>
      </c>
      <c r="D148" s="32">
        <v>65</v>
      </c>
      <c r="E148" s="5"/>
      <c r="F148" s="4">
        <f t="shared" si="17"/>
        <v>0</v>
      </c>
      <c r="G148" s="9">
        <f t="shared" si="18"/>
        <v>0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1:24" s="21" customFormat="1" ht="30" hidden="1" customHeight="1" x14ac:dyDescent="0.25">
      <c r="A149" s="10" t="str">
        <f>HYPERLINK("https://www.crowdgames.ru/collection/shop/product/protektory-crowd-games-dlya-kart-575-x-89-mm","Протекторы 57,5 х 89 (Crowd Games)")</f>
        <v>Протекторы 57,5 х 89 (Crowd Games)</v>
      </c>
      <c r="B149" s="58"/>
      <c r="C149" s="33">
        <v>119</v>
      </c>
      <c r="D149" s="32">
        <v>65</v>
      </c>
      <c r="E149" s="5"/>
      <c r="F149" s="4">
        <f t="shared" si="17"/>
        <v>0</v>
      </c>
      <c r="G149" s="9">
        <f t="shared" si="18"/>
        <v>0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30" hidden="1" customHeight="1" x14ac:dyDescent="0.25">
      <c r="A150" s="10" t="str">
        <f>HYPERLINK("https://www.crowdgames.ru/collection/shop/product/protektory-crowd-games-premium-dlya-kart-575-x-89-mm","Протекторы 57,5 х 89 Premium (Crowd Games)")</f>
        <v>Протекторы 57,5 х 89 Premium (Crowd Games)</v>
      </c>
      <c r="B150" s="58"/>
      <c r="C150" s="33">
        <v>119</v>
      </c>
      <c r="D150" s="32">
        <v>65</v>
      </c>
      <c r="E150" s="5"/>
      <c r="F150" s="4">
        <f t="shared" si="17"/>
        <v>0</v>
      </c>
      <c r="G150" s="9">
        <f t="shared" si="18"/>
        <v>0</v>
      </c>
    </row>
    <row r="151" spans="1:24" ht="30" hidden="1" customHeight="1" x14ac:dyDescent="0.25">
      <c r="A151" s="10" t="str">
        <f>HYPERLINK("https://www.crowdgames.ru/collection/shop/product/protektory-crowd-games-dlya-kart-59-x-92-mm","Протекторы 59 х 92 (Crowd Games)")</f>
        <v>Протекторы 59 х 92 (Crowd Games)</v>
      </c>
      <c r="B151" s="58"/>
      <c r="C151" s="33">
        <v>119</v>
      </c>
      <c r="D151" s="32">
        <v>65</v>
      </c>
      <c r="E151" s="5"/>
      <c r="F151" s="4">
        <f t="shared" si="17"/>
        <v>0</v>
      </c>
      <c r="G151" s="9">
        <f t="shared" si="18"/>
        <v>0</v>
      </c>
    </row>
    <row r="152" spans="1:24" ht="30" hidden="1" customHeight="1" x14ac:dyDescent="0.25">
      <c r="A152" s="10" t="str">
        <f>HYPERLINK("https://www.crowdgames.ru/collection/shop/product/protektory-CG-premium-59x92","Протекторы 59 х 92 Premium (Crowd Games)")</f>
        <v>Протекторы 59 х 92 Premium (Crowd Games)</v>
      </c>
      <c r="B152" s="58"/>
      <c r="C152" s="33">
        <v>119</v>
      </c>
      <c r="D152" s="32">
        <v>65</v>
      </c>
      <c r="E152" s="5"/>
      <c r="F152" s="4">
        <f t="shared" si="17"/>
        <v>0</v>
      </c>
      <c r="G152" s="9">
        <f t="shared" si="18"/>
        <v>0</v>
      </c>
    </row>
    <row r="153" spans="1:24" ht="30" hidden="1" customHeight="1" x14ac:dyDescent="0.25">
      <c r="A153" s="10" t="str">
        <f>HYPERLINK("https://www.crowdgames.ru/collection/shop/product/protektory-CG-premium-63x88","Протекторы 63 х 88 Premium (Crowd Games)")</f>
        <v>Протекторы 63 х 88 Premium (Crowd Games)</v>
      </c>
      <c r="B153" s="58"/>
      <c r="C153" s="33">
        <v>119</v>
      </c>
      <c r="D153" s="32">
        <v>65</v>
      </c>
      <c r="E153" s="5"/>
      <c r="F153" s="4">
        <f t="shared" si="17"/>
        <v>0</v>
      </c>
      <c r="G153" s="9">
        <f t="shared" si="18"/>
        <v>0</v>
      </c>
    </row>
    <row r="154" spans="1:24" ht="30" hidden="1" customHeight="1" x14ac:dyDescent="0.25">
      <c r="A154" s="10" t="str">
        <f>HYPERLINK("https://www.crowdgames.ru/collection/shop/product/protektory-crowd-games-dlya-kart-70-x-100-mm","Протекторы 70 х 110 (Crowd Games)")</f>
        <v>Протекторы 70 х 110 (Crowd Games)</v>
      </c>
      <c r="B154" s="58"/>
      <c r="C154" s="33">
        <v>149</v>
      </c>
      <c r="D154" s="32">
        <v>80</v>
      </c>
      <c r="E154" s="5"/>
      <c r="F154" s="4">
        <f t="shared" si="17"/>
        <v>0</v>
      </c>
      <c r="G154" s="9">
        <f t="shared" si="18"/>
        <v>0</v>
      </c>
    </row>
    <row r="155" spans="1:24" s="28" customFormat="1" ht="30" hidden="1" customHeight="1" x14ac:dyDescent="0.25">
      <c r="A155" s="10" t="str">
        <f>HYPERLINK("https://www.crowdgames.ru/collection/shop/product/protektory-crowd-games-dlya-kart-70-x-120-mm","Протекторы 70 х 120 (Crowd Games)")</f>
        <v>Протекторы 70 х 120 (Crowd Games)</v>
      </c>
      <c r="B155" s="58"/>
      <c r="C155" s="33">
        <v>149</v>
      </c>
      <c r="D155" s="32">
        <v>80</v>
      </c>
      <c r="E155" s="5"/>
      <c r="F155" s="4">
        <f t="shared" si="17"/>
        <v>0</v>
      </c>
      <c r="G155" s="9">
        <f t="shared" si="18"/>
        <v>0</v>
      </c>
    </row>
    <row r="156" spans="1:24" ht="30" hidden="1" customHeight="1" x14ac:dyDescent="0.25">
      <c r="A156" s="10" t="str">
        <f>HYPERLINK("https://www.crowdgames.ru/collection/shop/product/protektory-crowd-games-premium-dlya-kart-70-x-120-mm","Протекторы 70 х 120 Premium (Crowd Games)")</f>
        <v>Протекторы 70 х 120 Premium (Crowd Games)</v>
      </c>
      <c r="B156" s="58"/>
      <c r="C156" s="33">
        <v>149</v>
      </c>
      <c r="D156" s="32">
        <v>80</v>
      </c>
      <c r="E156" s="5"/>
      <c r="F156" s="4">
        <f t="shared" si="17"/>
        <v>0</v>
      </c>
      <c r="G156" s="9">
        <f t="shared" si="18"/>
        <v>0</v>
      </c>
    </row>
    <row r="157" spans="1:24" ht="30" hidden="1" customHeight="1" x14ac:dyDescent="0.25">
      <c r="A157" s="10" t="str">
        <f>HYPERLINK("https://www.crowdgames.ru/collection/shop/product/protektory-crowd-games-dlya-kart-80-x-120-mm","Протекторы 80 х 120 (Crowd Games)")</f>
        <v>Протекторы 80 х 120 (Crowd Games)</v>
      </c>
      <c r="B157" s="58"/>
      <c r="C157" s="33">
        <v>149</v>
      </c>
      <c r="D157" s="32">
        <v>80</v>
      </c>
      <c r="E157" s="5"/>
      <c r="F157" s="4">
        <f t="shared" si="17"/>
        <v>0</v>
      </c>
      <c r="G157" s="9">
        <f t="shared" si="18"/>
        <v>0</v>
      </c>
    </row>
    <row r="158" spans="1:24" ht="20.100000000000001" hidden="1" customHeight="1" x14ac:dyDescent="0.25">
      <c r="A158" s="10" t="str">
        <f>HYPERLINK("https://www.crowdgames.ru/collection/shop/product/protektory-crowd-games-premium-dlya-kart-80-x-120-mm","Протекторы 80 х 120 Premium (Crowd Games)")</f>
        <v>Протекторы 80 х 120 Premium (Crowd Games)</v>
      </c>
      <c r="B158" s="58"/>
      <c r="C158" s="33">
        <v>149</v>
      </c>
      <c r="D158" s="32">
        <v>80</v>
      </c>
      <c r="E158" s="5"/>
      <c r="F158" s="4">
        <f t="shared" si="17"/>
        <v>0</v>
      </c>
      <c r="G158" s="9">
        <f t="shared" si="18"/>
        <v>0</v>
      </c>
    </row>
    <row r="159" spans="1:24" ht="20.100000000000001" hidden="1" customHeight="1" x14ac:dyDescent="0.25">
      <c r="A159" s="34" t="s">
        <v>24</v>
      </c>
      <c r="B159" s="59"/>
      <c r="C159" s="35">
        <f>IF(($F$131*0.6+$F$139*0.4+$G$159+$F$162*0.6)&gt;=90000, 0.4, IF(($F$131*0.625+$F$139*0.45+$F$162*0.625+$G$159)&gt;=60000, 0.375, IF(($F$131*0.65+$F$139*0.5+$F$162*0.65+$G$159)&gt;=45000, 0.35,IF(($F$131*0.675+$F$139*0.55+$F$162*0.675+$G$159)&gt;=32500, 0.325,IF(($F$131*0.7+$F$139*0.6+$F$162*0.7+$G$159)&gt;=20000, 0.3,IF(($F$131*0.725+$F$139*0.65+$F$162*0.725+$G$159)&gt;=15000, 0.3,IF(($F$131*0.75+$F$139*0.7+$F$162*0.75+$G$159)&gt;=10000, 0.3, 0)))))))</f>
        <v>0</v>
      </c>
      <c r="D159" s="24"/>
      <c r="E159" s="3" t="s">
        <v>25</v>
      </c>
      <c r="F159" s="1">
        <f>SUM(F141:F158)</f>
        <v>0</v>
      </c>
      <c r="G159" s="7">
        <f>SUM(G141:G158)</f>
        <v>0</v>
      </c>
    </row>
    <row r="160" spans="1:24" ht="30" hidden="1" customHeight="1" x14ac:dyDescent="0.25">
      <c r="A160" s="36" t="s">
        <v>29</v>
      </c>
      <c r="B160" s="60"/>
      <c r="C160" s="1" t="s">
        <v>3</v>
      </c>
      <c r="D160" s="27" t="s">
        <v>4</v>
      </c>
      <c r="E160" s="1" t="s">
        <v>5</v>
      </c>
      <c r="F160" s="1" t="s">
        <v>6</v>
      </c>
      <c r="G160" s="8" t="s">
        <v>7</v>
      </c>
    </row>
    <row r="161" spans="1:7" ht="30" hidden="1" customHeight="1" x14ac:dyDescent="0.25">
      <c r="A161" s="37"/>
      <c r="B161" s="61"/>
      <c r="C161" s="4"/>
      <c r="D161" s="14"/>
      <c r="E161" s="5"/>
      <c r="F161" s="4"/>
      <c r="G161" s="9"/>
    </row>
    <row r="162" spans="1:7" ht="15.95" hidden="1" customHeight="1" x14ac:dyDescent="0.25">
      <c r="A162" s="38" t="s">
        <v>24</v>
      </c>
      <c r="B162" s="62"/>
      <c r="C162" s="35">
        <f>IF(($F$131*0.6+$F$139*0.4+$G$159+$F$162*0.6)&gt;=90000, 0.4, IF(($F$131*0.625+$F$139*0.45+$F$162*0.625+$G$159)&gt;=60000, 0.375, IF(($F$131*0.65+$F$139*0.5+$F$162*0.65+$G$159)&gt;=45000, 0.35,IF(($F$131*0.675+$F$139*0.55+$F$162*0.675+$G$159)&gt;=32500, 0.325,IF(($F$131*0.7+$F$139*0.6+$F$162*0.7+$G$159)&gt;=20000, 0.3,IF(($F$131*0.725+$F$139*0.65+$F$162*0.725+$G$159)&gt;=15000, 0.3,IF(($F$131*0.75+$F$139*0.7+$F$162*0.75+$G$159)&gt;=10000, 0.3, 0)))))))</f>
        <v>0</v>
      </c>
      <c r="D162" s="24"/>
      <c r="E162" s="3" t="s">
        <v>25</v>
      </c>
      <c r="F162" s="1">
        <f>SUM(F161:F161)</f>
        <v>0</v>
      </c>
      <c r="G162" s="7">
        <f>SUM(G161:G161)</f>
        <v>0</v>
      </c>
    </row>
    <row r="163" spans="1:7" ht="15.95" customHeight="1" x14ac:dyDescent="0.25">
      <c r="A163" s="136" t="s">
        <v>30</v>
      </c>
      <c r="B163" s="137"/>
      <c r="C163" s="137"/>
      <c r="D163" s="137"/>
      <c r="E163" s="137"/>
      <c r="F163" s="138"/>
      <c r="G163" s="7">
        <f>$F$131+$F$139+$F$162+$F$159</f>
        <v>0</v>
      </c>
    </row>
    <row r="164" spans="1:7" ht="15.95" customHeight="1" x14ac:dyDescent="0.25">
      <c r="A164" s="155" t="s">
        <v>31</v>
      </c>
      <c r="B164" s="137"/>
      <c r="C164" s="137"/>
      <c r="D164" s="137"/>
      <c r="E164" s="138"/>
      <c r="F164" s="39"/>
      <c r="G164" s="40">
        <f>G139+G131+G162+G159</f>
        <v>0</v>
      </c>
    </row>
    <row r="165" spans="1:7" ht="17.100000000000001" customHeight="1" thickBot="1" x14ac:dyDescent="0.3">
      <c r="A165" s="133" t="s">
        <v>32</v>
      </c>
      <c r="B165" s="134"/>
      <c r="C165" s="134"/>
      <c r="D165" s="134"/>
      <c r="E165" s="135"/>
      <c r="F165" s="41"/>
      <c r="G165" s="42">
        <f>G163-G164</f>
        <v>0</v>
      </c>
    </row>
    <row r="166" spans="1:7" x14ac:dyDescent="0.25">
      <c r="A166" s="139" t="s">
        <v>33</v>
      </c>
      <c r="B166" s="129"/>
      <c r="C166" s="130"/>
      <c r="D166" s="131"/>
      <c r="E166" s="130"/>
      <c r="F166" s="130"/>
      <c r="G166" s="130"/>
    </row>
    <row r="167" spans="1:7" x14ac:dyDescent="0.25">
      <c r="A167" s="140"/>
      <c r="B167" s="129"/>
      <c r="C167" s="130"/>
      <c r="D167" s="131"/>
      <c r="E167" s="130"/>
      <c r="F167" s="130"/>
      <c r="G167" s="130"/>
    </row>
  </sheetData>
  <sheetProtection algorithmName="SHA-512" hashValue="8ucAHyDK1e4S4kpx+2tQ3BzcLNXK0z6NaC1/E4KAxZg+YIQYctzpyJND6MFyJgO3dDVQr5b0NbyjJNqG+/owTg==" saltValue="6lPYAoa4o+gzctFoE1t8gw==" spinCount="100000" sheet="1" objects="1" scenarios="1"/>
  <mergeCells count="9">
    <mergeCell ref="A1:H1"/>
    <mergeCell ref="A165:E165"/>
    <mergeCell ref="A163:F163"/>
    <mergeCell ref="A166:G167"/>
    <mergeCell ref="I11:J11"/>
    <mergeCell ref="I12:J14"/>
    <mergeCell ref="I21:J27"/>
    <mergeCell ref="A164:E164"/>
    <mergeCell ref="A2:G2"/>
  </mergeCells>
  <conditionalFormatting sqref="D88:D90">
    <cfRule type="cellIs" dxfId="7" priority="17022" operator="equal">
      <formula>0</formula>
    </cfRule>
  </conditionalFormatting>
  <conditionalFormatting sqref="D4:G71 D68:D75 D76:G99 D109:G109">
    <cfRule type="cellIs" dxfId="6" priority="10" operator="equal">
      <formula>0</formula>
    </cfRule>
  </conditionalFormatting>
  <conditionalFormatting sqref="D73:G73">
    <cfRule type="cellIs" dxfId="5" priority="16918" operator="equal">
      <formula>0</formula>
    </cfRule>
  </conditionalFormatting>
  <conditionalFormatting sqref="D133:G138">
    <cfRule type="cellIs" dxfId="4" priority="16992" operator="equal">
      <formula>0</formula>
    </cfRule>
  </conditionalFormatting>
  <conditionalFormatting sqref="D141:G158">
    <cfRule type="cellIs" dxfId="3" priority="24563" operator="equal">
      <formula>0</formula>
    </cfRule>
  </conditionalFormatting>
  <conditionalFormatting sqref="E68:G114 D77 D98:D114 D114:G130">
    <cfRule type="cellIs" dxfId="2" priority="20501" operator="equal">
      <formula>0</formula>
    </cfRule>
  </conditionalFormatting>
  <conditionalFormatting sqref="E116:G118">
    <cfRule type="cellIs" dxfId="1" priority="19464" operator="equal">
      <formula>0</formula>
    </cfRule>
  </conditionalFormatting>
  <conditionalFormatting sqref="F132:G132 F140:G140 F160:G160 D161:G161">
    <cfRule type="cellIs" dxfId="0" priority="24738" operator="equal">
      <formula>0</formula>
    </cfRule>
  </conditionalFormatting>
  <dataValidations count="1">
    <dataValidation type="list" allowBlank="1" showInputMessage="1" showErrorMessage="1" promptTitle="Остаток" sqref="I3 I66:I70 I90:I91 I95 I98:I104 I107 I116:I124 I133 I34:I41 I126:I131" xr:uid="{00000000-0002-0000-0000-000000000000}">
      <formula1>#REF!</formula1>
    </dataValidation>
  </dataValidations>
  <hyperlinks>
    <hyperlink ref="A68" r:id="rId1" xr:uid="{8D9AAEE5-DA73-F944-8A23-A0BE1C1AF3ED}"/>
    <hyperlink ref="A69" r:id="rId2" xr:uid="{D244F406-C662-8942-B52A-544D2975F8E5}"/>
    <hyperlink ref="A70" r:id="rId3" xr:uid="{C25872D0-1579-E945-B57C-9F9396E2B747}"/>
  </hyperlinks>
  <pageMargins left="0.7" right="0.7" top="0.75" bottom="0.75" header="0.3" footer="0.3"/>
  <pageSetup paperSize="9" scale="58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Kors161</cp:lastModifiedBy>
  <cp:lastPrinted>2020-07-24T12:48:26Z</cp:lastPrinted>
  <dcterms:created xsi:type="dcterms:W3CDTF">2019-12-25T09:07:04Z</dcterms:created>
  <dcterms:modified xsi:type="dcterms:W3CDTF">2026-07-01T08:20:21Z</dcterms:modified>
</cp:coreProperties>
</file>